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0" yWindow="45" windowWidth="9600" windowHeight="10920" tabRatio="639" firstSheet="4" activeTab="4"/>
  </bookViews>
  <sheets>
    <sheet name="★プルダウン項目" sheetId="1" state="hidden" r:id="rId1"/>
    <sheet name="★DATA" sheetId="2" state="hidden" r:id="rId2"/>
    <sheet name="★印刷部数" sheetId="3" state="hidden" r:id="rId3"/>
    <sheet name="★作業領域" sheetId="4" state="hidden" r:id="rId4"/>
    <sheet name="借受者記入項目" sheetId="5" r:id="rId5"/>
    <sheet name="2" sheetId="6" r:id="rId6"/>
    <sheet name="3" sheetId="7" r:id="rId7"/>
    <sheet name="4" sheetId="8" r:id="rId8"/>
    <sheet name="5" sheetId="9" r:id="rId9"/>
    <sheet name="6-1" sheetId="10" r:id="rId10"/>
    <sheet name="6-2" sheetId="11" r:id="rId11"/>
    <sheet name="7-1" sheetId="12" r:id="rId12"/>
    <sheet name="7-2" sheetId="13" r:id="rId13"/>
    <sheet name="8" sheetId="14" r:id="rId14"/>
    <sheet name="riyu" sheetId="15" r:id="rId15"/>
    <sheet name="原本証明" sheetId="16" r:id="rId16"/>
    <sheet name="Q&amp;A" sheetId="17" r:id="rId17"/>
  </sheets>
  <definedNames>
    <definedName name="_xlnm._FilterDatabase" localSheetId="0" hidden="1">'★プルダウン項目'!$G$1:$I$120</definedName>
    <definedName name="CONFIG_COPIES">'★印刷部数'!$A$1:$D$18</definedName>
    <definedName name="DATA_ID">'★作業領域'!$D$1</definedName>
    <definedName name="Fax番号">'借受者記入項目'!$C$7</definedName>
    <definedName name="pdm機械区分">'★プルダウン項目'!$E$2:$E$4</definedName>
    <definedName name="pdm機械名">'★プルダウン項目'!$H$2:$H$9</definedName>
    <definedName name="pdm事業名">'★プルダウン項目'!$U$2:$U$4</definedName>
    <definedName name="pdm借受者区分">'★プルダウン項目'!$B$2:$B$4</definedName>
    <definedName name="pdm成果目標">'★プルダウン項目'!$O$2:$O$6</definedName>
    <definedName name="pdm配合飼料加入状況">'★プルダウン項目'!$X$2:$X$5</definedName>
    <definedName name="pdm銘柄">'★プルダウン項目'!$L$2:$L$82</definedName>
    <definedName name="pdm目標">'★プルダウン項目'!$O$2:$O$24</definedName>
    <definedName name="_xlnm.Print_Area" localSheetId="10">'6-2'!$A$1:$H$136</definedName>
    <definedName name="_xlnm.Print_Area" localSheetId="15">'原本証明'!$A$1:$F$336</definedName>
    <definedName name="_xlnm.Print_Titles" localSheetId="1">'★DATA'!$A:$A,'★DATA'!$1:$1</definedName>
    <definedName name="_xlnm.Print_Titles" localSheetId="4">'借受者記入項目'!$1:$1</definedName>
    <definedName name="tbl機械区分">'★プルダウン項目'!$H:$I</definedName>
    <definedName name="リース期間">'借受者記入項目'!$E$21</definedName>
    <definedName name="営農上の収支状況_営業収益">'借受者記入項目'!$D$81</definedName>
    <definedName name="営農上の収支状況_繰越損益">'借受者記入項目'!$I$82</definedName>
    <definedName name="営農上の収支状況_借入金総額">'借受者記入項目'!$I$80</definedName>
    <definedName name="営農上の収支状況_所見">'借受者記入項目'!$M$82</definedName>
    <definedName name="営農上の収支状況_損益">'借受者記入項目'!$D$82</definedName>
    <definedName name="営農上の収支状況_売上げ収入に占める借入金の割合">'借受者記入項目'!$J$81</definedName>
    <definedName name="営農上の収支状況_売上収入">'借受者記入項目'!$D$80</definedName>
    <definedName name="営農上の収支状況_法人の構成比">'借受者記入項目'!$Q$80</definedName>
    <definedName name="営農上の収支状況_法人の場合の資本金">'借受者記入項目'!$L$81</definedName>
    <definedName name="加入の意思の有無">'借受者記入項目'!$M$58</definedName>
    <definedName name="加入予定月">'借受者記入項目'!$T$58</definedName>
    <definedName name="管理責任者1">'借受者記入項目'!$A$90</definedName>
    <definedName name="管理責任者10">'借受者記入項目'!$A$99</definedName>
    <definedName name="管理責任者11">'借受者記入項目'!$A$100</definedName>
    <definedName name="管理責任者12">'借受者記入項目'!$A$101</definedName>
    <definedName name="管理責任者2">'借受者記入項目'!$A$91</definedName>
    <definedName name="管理責任者3">'借受者記入項目'!$A$92</definedName>
    <definedName name="管理責任者4">'借受者記入項目'!$A$93</definedName>
    <definedName name="管理責任者5">'借受者記入項目'!$A$94</definedName>
    <definedName name="管理責任者6">'借受者記入項目'!$A$95</definedName>
    <definedName name="管理責任者7">'借受者記入項目'!$A$96</definedName>
    <definedName name="管理責任者8">'借受者記入項目'!$A$97</definedName>
    <definedName name="管理責任者9">'借受者記入項目'!$A$98</definedName>
    <definedName name="機械1_カタログ原本証明日">'借受者記入項目'!$E$35</definedName>
    <definedName name="機械1_機械を必要とする理由">'借受者記入項目'!$E$36</definedName>
    <definedName name="機械1_機械区分">'借受者記入項目'!$E$23</definedName>
    <definedName name="機械1_機械名">'借受者記入項目'!$E$24</definedName>
    <definedName name="機械1_業者との価格交渉経過">'借受者記入項目'!$E$54</definedName>
    <definedName name="機械1_形式">'借受者記入項目'!$E$26</definedName>
    <definedName name="機械1_見積価格">'借受者記入項目'!$E$28</definedName>
    <definedName name="機械1_見積合わせの選定基準">'借受者記入項目'!$E$40</definedName>
    <definedName name="機械1_見積合わせ実施年月日">'借受者記入項目'!$E$41</definedName>
    <definedName name="機械1_現地納入業者_所在地">'借受者記入項目'!$E$32</definedName>
    <definedName name="機械1_現地納入業者_電話番号">'借受者記入項目'!$E$33</definedName>
    <definedName name="機械1_現地納入業者_名称">'借受者記入項目'!$E$31</definedName>
    <definedName name="機械1_参加業者名1_見積価格">'借受者記入項目'!$E$43</definedName>
    <definedName name="機械1_参加業者名1_参加業者名">'借受者記入項目'!$E$42</definedName>
    <definedName name="機械1_参加業者名2_見積価格">'借受者記入項目'!$E$45</definedName>
    <definedName name="機械1_参加業者名2_参加業者名">'借受者記入項目'!$E$44</definedName>
    <definedName name="機械1_参加業者名3_見積価格">'借受者記入項目'!$E$47</definedName>
    <definedName name="機械1_参加業者名3_参加業者名">'借受者記入項目'!$E$46</definedName>
    <definedName name="機械1_自主調査の概要_調査機械の概要">'借受者記入項目'!$E$53</definedName>
    <definedName name="機械1_自主調査の概要_調査農家の概要">'借受者記入項目'!$E$52</definedName>
    <definedName name="機械1_小売参考価格">'借受者記入項目'!$E$27</definedName>
    <definedName name="機械1_情報活用内容_具体的に活用した情報">'借受者記入項目'!$E$51</definedName>
    <definedName name="機械1_情報活用内容_提供元と提供情報">'借受者記入項目'!$E$50</definedName>
    <definedName name="機械1_成果目標1">'借受者記入項目'!$E$37</definedName>
    <definedName name="機械1_成果目標2">'借受者記入項目'!$E$38</definedName>
    <definedName name="機械1_設置場所">'借受者記入項目'!$E$34</definedName>
    <definedName name="機械1_選定理由">'借受者記入項目'!$E$49</definedName>
    <definedName name="機械1_銘柄">'借受者記入項目'!$E$25</definedName>
    <definedName name="機械2_カタログ原本証明日">'借受者記入項目'!$J$35</definedName>
    <definedName name="機械2_機械を必要とする理由">'借受者記入項目'!$J$36</definedName>
    <definedName name="機械2_機械区分">'借受者記入項目'!$J$23</definedName>
    <definedName name="機械2_機械名">'借受者記入項目'!$J$24</definedName>
    <definedName name="機械2_業者との価格交渉経過">'借受者記入項目'!$J$54</definedName>
    <definedName name="機械2_形式">'借受者記入項目'!$J$26</definedName>
    <definedName name="機械2_見積価格">'借受者記入項目'!$J$28</definedName>
    <definedName name="機械2_見積合わせの選定基準">'借受者記入項目'!$J$40</definedName>
    <definedName name="機械2_見積合わせ実施年月日">'借受者記入項目'!$J$41</definedName>
    <definedName name="機械2_現地納入業者_所在地">'借受者記入項目'!$J$32</definedName>
    <definedName name="機械2_現地納入業者_電話番号">'借受者記入項目'!$J$33</definedName>
    <definedName name="機械2_現地納入業者_名称">'借受者記入項目'!$J$31</definedName>
    <definedName name="機械2_参加業者名1_見積価格">'借受者記入項目'!$J$43</definedName>
    <definedName name="機械2_参加業者名1_参加業者名">'借受者記入項目'!$J$42</definedName>
    <definedName name="機械2_参加業者名2_見積価格">'借受者記入項目'!$J$45</definedName>
    <definedName name="機械2_参加業者名2_参加業者名">'借受者記入項目'!$J$44</definedName>
    <definedName name="機械2_参加業者名3_見積価格">'借受者記入項目'!$J$47</definedName>
    <definedName name="機械2_参加業者名3_参加業者名">'借受者記入項目'!$J$46</definedName>
    <definedName name="機械2_自主調査の概要_調査機械の概要">'借受者記入項目'!$J$53</definedName>
    <definedName name="機械2_自主調査の概要_調査農家の概要">'借受者記入項目'!$J$52</definedName>
    <definedName name="機械2_小売参考価格">'借受者記入項目'!$J$27</definedName>
    <definedName name="機械2_情報活用内容_具体的に活用した情報">'借受者記入項目'!$J$51</definedName>
    <definedName name="機械2_情報活用内容_提供元と提供情報">'借受者記入項目'!$J$50</definedName>
    <definedName name="機械2_成果目標1">'借受者記入項目'!$J$37</definedName>
    <definedName name="機械2_成果目標2">'借受者記入項目'!$J$38</definedName>
    <definedName name="機械2_設置場所">'借受者記入項目'!$J$34</definedName>
    <definedName name="機械2_選定理由">'借受者記入項目'!$J$49</definedName>
    <definedName name="機械2_銘柄">'借受者記入項目'!$J$25</definedName>
    <definedName name="機械3_カタログ原本証明日">'借受者記入項目'!$O$35</definedName>
    <definedName name="機械3_機械を必要とする理由">'借受者記入項目'!$O$36</definedName>
    <definedName name="機械3_機械区分">'借受者記入項目'!$O$23</definedName>
    <definedName name="機械3_機械名">'借受者記入項目'!$O$24</definedName>
    <definedName name="機械3_業者との価格交渉経過">'借受者記入項目'!$O$54</definedName>
    <definedName name="機械3_形式">'借受者記入項目'!$O$26</definedName>
    <definedName name="機械3_見積価格">'借受者記入項目'!$O$28</definedName>
    <definedName name="機械3_見積合わせの選定基準">'借受者記入項目'!$O$40</definedName>
    <definedName name="機械3_見積合わせ実施年月日">'借受者記入項目'!$O$41</definedName>
    <definedName name="機械3_現地納入業者_所在地">'借受者記入項目'!$O$32</definedName>
    <definedName name="機械3_現地納入業者_電話番号">'借受者記入項目'!$O$33</definedName>
    <definedName name="機械3_現地納入業者_名称">'借受者記入項目'!$O$31</definedName>
    <definedName name="機械3_参加業者名1_見積価格">'借受者記入項目'!$O$43</definedName>
    <definedName name="機械3_参加業者名1_参加業者名">'借受者記入項目'!$O$42</definedName>
    <definedName name="機械3_参加業者名2_見積価格">'借受者記入項目'!$O$45</definedName>
    <definedName name="機械3_参加業者名2_参加業者名">'借受者記入項目'!$O$44</definedName>
    <definedName name="機械3_参加業者名3_見積価格">'借受者記入項目'!$O$47</definedName>
    <definedName name="機械3_参加業者名3_参加業者名">'借受者記入項目'!$O$46</definedName>
    <definedName name="機械3_自主調査の概要_調査機械の概要">'借受者記入項目'!$O$53</definedName>
    <definedName name="機械3_自主調査の概要_調査農家の概要">'借受者記入項目'!$O$52</definedName>
    <definedName name="機械3_小売参考価格">'借受者記入項目'!$O$27</definedName>
    <definedName name="機械3_情報活用内容_具体的に活用した情報">'借受者記入項目'!$O$51</definedName>
    <definedName name="機械3_情報活用内容_提供元と提供情報">'借受者記入項目'!$O$50</definedName>
    <definedName name="機械3_成果目標1">'借受者記入項目'!$O$37</definedName>
    <definedName name="機械3_成果目標2">'借受者記入項目'!$O$38</definedName>
    <definedName name="機械3_設置場所">'借受者記入項目'!$O$34</definedName>
    <definedName name="機械3_選定理由">'借受者記入項目'!$O$49</definedName>
    <definedName name="機械3_銘柄">'借受者記入項目'!$O$25</definedName>
    <definedName name="機械4_カタログ原本証明日">'借受者記入項目'!$T$35</definedName>
    <definedName name="機械4_機械を必要とする理由">'借受者記入項目'!$T$36</definedName>
    <definedName name="機械4_機械区分">'借受者記入項目'!$T$23</definedName>
    <definedName name="機械4_機械名">'借受者記入項目'!$T$24</definedName>
    <definedName name="機械4_業者との価格交渉経過">'借受者記入項目'!$T$54</definedName>
    <definedName name="機械4_形式">'借受者記入項目'!$T$26</definedName>
    <definedName name="機械4_見積価格">'借受者記入項目'!$T$28</definedName>
    <definedName name="機械4_見積合わせの選定基準">'借受者記入項目'!$T$40</definedName>
    <definedName name="機械4_見積合わせ実施年月日">'借受者記入項目'!$T$41</definedName>
    <definedName name="機械4_現地納入業者_所在地">'借受者記入項目'!$T$32</definedName>
    <definedName name="機械4_現地納入業者_電話番号">'借受者記入項目'!$T$33</definedName>
    <definedName name="機械4_現地納入業者_名称">'借受者記入項目'!$T$31</definedName>
    <definedName name="機械4_参加業者名1_見積価格">'借受者記入項目'!$T$43</definedName>
    <definedName name="機械4_参加業者名1_参加業者名">'借受者記入項目'!$T$42</definedName>
    <definedName name="機械4_参加業者名2_見積価格">'借受者記入項目'!$T$45</definedName>
    <definedName name="機械4_参加業者名2_参加業者名">'借受者記入項目'!$T$44</definedName>
    <definedName name="機械4_参加業者名3_見積価格">'借受者記入項目'!$T$47</definedName>
    <definedName name="機械4_参加業者名3_参加業者名">'借受者記入項目'!$T$46</definedName>
    <definedName name="機械4_自主調査の概要_調査機械の概要">'借受者記入項目'!$T$53</definedName>
    <definedName name="機械4_自主調査の概要_調査農家の概要">'借受者記入項目'!$T$52</definedName>
    <definedName name="機械4_小売参考価格">'借受者記入項目'!$T$27</definedName>
    <definedName name="機械4_情報活用内容_具体的に活用した情報">'借受者記入項目'!$T$51</definedName>
    <definedName name="機械4_情報活用内容_提供元と提供情報">'借受者記入項目'!$T$50</definedName>
    <definedName name="機械4_成果目標1">'借受者記入項目'!$T$37</definedName>
    <definedName name="機械4_成果目標2">'借受者記入項目'!$T$38</definedName>
    <definedName name="機械4_設置場所">'借受者記入項目'!$T$34</definedName>
    <definedName name="機械4_選定理由">'借受者記入項目'!$T$49</definedName>
    <definedName name="機械4_銘柄">'借受者記入項目'!$T$25</definedName>
    <definedName name="経営形態_その他">'借受者記入項目'!$U$69</definedName>
    <definedName name="経営形態_採卵鶏">'借受者記入項目'!$Q$69</definedName>
    <definedName name="経営形態_肉用牛経営_育成">'借受者記入項目'!$K$69</definedName>
    <definedName name="経営形態_肉用牛経営_繁殖">'借受者記入項目'!$I$69</definedName>
    <definedName name="経営形態_肉用牛経営_肥育">'借受者記入項目'!$M$69</definedName>
    <definedName name="経営形態_肉用鶏">'借受者記入項目'!$S$69</definedName>
    <definedName name="経営形態_養豚経営">'借受者記入項目'!$O$69</definedName>
    <definedName name="経営形態_酪農経営">'借受者記入項目'!$G$69</definedName>
    <definedName name="現状_家畜飼養状況_その他">'借受者記入項目'!$Q$12</definedName>
    <definedName name="現状_家畜飼養状況_ブロイラー">'借受者記入項目'!$Q$14</definedName>
    <definedName name="現状_家畜飼養状況_ブロイラー_委託">'借受者記入項目'!$Q$15</definedName>
    <definedName name="現状_家畜飼養状況_採卵鶏">'借受者記入項目'!$L$14</definedName>
    <definedName name="現状_家畜飼養状況_採卵鶏_委託">'借受者記入項目'!$L$15</definedName>
    <definedName name="現状_家畜飼養状況_肉牛">'借受者記入項目'!$L$12</definedName>
    <definedName name="現状_家畜飼養状況_肉牛_委託">'借受者記入項目'!$L$13</definedName>
    <definedName name="現状_家畜飼養状況_肉豚">'借受者記入項目'!$G$14</definedName>
    <definedName name="現状_家畜飼養状況_肉豚_委託">'借受者記入項目'!$G$15</definedName>
    <definedName name="現状_家畜飼養状況_乳牛">'借受者記入項目'!$G$12</definedName>
    <definedName name="現状_家畜飼養状況_乳牛_委託">'借受者記入項目'!$G$13</definedName>
    <definedName name="現状_家畜養状況_肉豚">'借受者記入項目'!$G$14</definedName>
    <definedName name="現状_飼料畑_草地">'借受者記入項目'!$Q$16</definedName>
    <definedName name="現状_飼料畑_草地借受">'借受者記入項目'!$Q$17</definedName>
    <definedName name="現状_飼料畑_田">'借受者記入項目'!$G$16</definedName>
    <definedName name="現状_飼料畑_田借受">'借受者記入項目'!$G$17</definedName>
    <definedName name="現状_飼料畑_畑">'借受者記入項目'!$L$16</definedName>
    <definedName name="現状_飼料畑_畑借受">'借受者記入項目'!$L$17</definedName>
    <definedName name="現地納入業者に対する与信">'借受者記入項目'!$D$83</definedName>
    <definedName name="個人経営者_氏名">'借受者記入項目'!$E$61</definedName>
    <definedName name="個人経営者_住所">'借受者記入項目'!$E$60</definedName>
    <definedName name="後継者">'借受者記入項目'!$J$79</definedName>
    <definedName name="後継者との関係">'借受者記入項目'!$N$79</definedName>
    <definedName name="氏名1">'借受者記入項目'!$D$90</definedName>
    <definedName name="氏名10">'借受者記入項目'!$D$99</definedName>
    <definedName name="氏名11">'借受者記入項目'!$D$100</definedName>
    <definedName name="氏名12">'借受者記入項目'!$D$101</definedName>
    <definedName name="氏名2">'借受者記入項目'!$D$91</definedName>
    <definedName name="氏名3">'借受者記入項目'!$D$92</definedName>
    <definedName name="氏名4">'借受者記入項目'!$D$93</definedName>
    <definedName name="氏名5">'借受者記入項目'!$D$94</definedName>
    <definedName name="氏名6">'借受者記入項目'!$D$95</definedName>
    <definedName name="氏名7">'借受者記入項目'!$D$96</definedName>
    <definedName name="氏名8">'借受者記入項目'!$D$97</definedName>
    <definedName name="氏名9">'借受者記入項目'!$D$98</definedName>
    <definedName name="事業名">'借受者記入項目'!$E$19</definedName>
    <definedName name="借受者区分">'借受者記入項目'!$C$4</definedName>
    <definedName name="借受者名_カナ">'借受者記入項目'!$C$5</definedName>
    <definedName name="借受者名_漢字">'借受者記入項目'!$C$6</definedName>
    <definedName name="借受団体_Ｅメールアドレス">'借受者記入項目'!$R$77</definedName>
    <definedName name="借受団体_住所">'借受者記入項目'!$E$77</definedName>
    <definedName name="借受団体_代表者区分">'借受者記入項目'!$I$75</definedName>
    <definedName name="借受団体_代表者名">'借受者記入項目'!$I$76</definedName>
    <definedName name="借受団体_担当者名">'借受者記入項目'!$O$76</definedName>
    <definedName name="借受団体_団体名">'借受者記入項目'!$C$75</definedName>
    <definedName name="借受団体_電話番号">'借受者記入項目'!$C$76</definedName>
    <definedName name="借受団体_農協担当部署">'借受者記入項目'!$O$75</definedName>
    <definedName name="借受団体_部署電話">'借受者記入項目'!$U$76</definedName>
    <definedName name="借受団体_郵便番号">'借受者記入項目'!$C$77</definedName>
    <definedName name="集団の構成員">'借受者記入項目'!$F$88</definedName>
    <definedName name="住所_住所">'借受者記入項目'!$M$7</definedName>
    <definedName name="住所_郵便番号">'借受者記入項目'!$J$7</definedName>
    <definedName name="住所1">'借受者記入項目'!$I$90</definedName>
    <definedName name="住所10">'借受者記入項目'!$I$99</definedName>
    <definedName name="住所11">'借受者記入項目'!$I$100</definedName>
    <definedName name="住所12">'借受者記入項目'!$I$101</definedName>
    <definedName name="住所2">'借受者記入項目'!$I$91</definedName>
    <definedName name="住所3">'借受者記入項目'!$I$92</definedName>
    <definedName name="住所4">'借受者記入項目'!$I$93</definedName>
    <definedName name="住所5">'借受者記入項目'!$I$94</definedName>
    <definedName name="住所6">'借受者記入項目'!$I$95</definedName>
    <definedName name="住所7">'借受者記入項目'!$I$96</definedName>
    <definedName name="住所8">'借受者記入項目'!$I$97</definedName>
    <definedName name="住所9">'借受者記入項目'!$I$98</definedName>
    <definedName name="所見">'借受者記入項目'!$H$83</definedName>
    <definedName name="商系基金_前年度">'借受者記入項目'!$O$66</definedName>
    <definedName name="商系基金_本年度">'借受者記入項目'!$S$66</definedName>
    <definedName name="申請月日">'借受者記入項目'!$L$21</definedName>
    <definedName name="全農基金_前年度">'借受者記入項目'!$O$64</definedName>
    <definedName name="全農基金_本年度">'借受者記入項目'!$S$64</definedName>
    <definedName name="組合員の加入時期">'借受者記入項目'!$D$79</definedName>
    <definedName name="対策理由">'借受者記入項目'!$G$85</definedName>
    <definedName name="貸付機械の保管場所">'借受者記入項目'!$G$103</definedName>
    <definedName name="代表者名_カナ">'借受者記入項目'!$M$5</definedName>
    <definedName name="代表者名_漢字">'借受者記入項目'!$M$6</definedName>
    <definedName name="畜産基金_前年度">'借受者記入項目'!$O$65</definedName>
    <definedName name="畜産基金_本年度">'借受者記入項目'!$S$65</definedName>
    <definedName name="畜産経営生産性向上支援リースに該当">'借受者記入項目'!$W$19</definedName>
    <definedName name="電話番号">'借受者記入項目'!$T$5</definedName>
    <definedName name="入力_借受者区分">'借受者記入項目'!$C$4</definedName>
    <definedName name="年齢">'借受者記入項目'!$H$79</definedName>
    <definedName name="配合飼料の購入先_飼料株式会社_支店">'借受者記入項目'!$Q$72</definedName>
    <definedName name="配合飼料の購入先_飼料販売代理店_支店">'借受者記入項目'!$Q$71</definedName>
    <definedName name="配合飼料の購入先_商系1">'借受者記入項目'!$I$71</definedName>
    <definedName name="配合飼料の購入先_商系2">'借受者記入項目'!$I$72</definedName>
    <definedName name="配合飼料の購入先_商系3">'借受者記入項目'!$I$73</definedName>
    <definedName name="配合飼料の購入先_農協">'借受者記入項目'!$I$70</definedName>
    <definedName name="配合飼料の購入先_農業協同組合_支店">'借受者記入項目'!$Q$70</definedName>
    <definedName name="配合飼料価格安定制度への加入状況">'借受者記入項目'!$C$57</definedName>
    <definedName name="法人経営者_住所">'借受者記入項目'!$O$60</definedName>
    <definedName name="法人経営者_代表者名">'借受者記入項目'!$O$62</definedName>
    <definedName name="法人経営者_法人名">'借受者記入項目'!$O$61</definedName>
    <definedName name="労働力_家族">'借受者記入項目'!$U$79</definedName>
    <definedName name="労働力_雇用">'借受者記入項目'!$W$79</definedName>
  </definedNames>
  <calcPr fullCalcOnLoad="1" refMode="R1C1"/>
</workbook>
</file>

<file path=xl/comments5.xml><?xml version="1.0" encoding="utf-8"?>
<comments xmlns="http://schemas.openxmlformats.org/spreadsheetml/2006/main">
  <authors>
    <author>本所農業機械課L4178P</author>
  </authors>
  <commentList>
    <comment ref="E24" authorId="0">
      <text>
        <r>
          <rPr>
            <b/>
            <sz val="12"/>
            <color indexed="10"/>
            <rFont val="ＭＳ Ｐゴシック"/>
            <family val="3"/>
          </rPr>
          <t>リストから選択</t>
        </r>
      </text>
    </comment>
    <comment ref="E25" authorId="0">
      <text>
        <r>
          <rPr>
            <b/>
            <sz val="12"/>
            <color indexed="10"/>
            <rFont val="ＭＳ Ｐゴシック"/>
            <family val="3"/>
          </rPr>
          <t>リストから選択</t>
        </r>
        <r>
          <rPr>
            <sz val="9"/>
            <rFont val="ＭＳ Ｐゴシック"/>
            <family val="3"/>
          </rPr>
          <t xml:space="preserve">
</t>
        </r>
      </text>
    </comment>
    <comment ref="J24" authorId="0">
      <text>
        <r>
          <rPr>
            <b/>
            <sz val="12"/>
            <color indexed="10"/>
            <rFont val="ＭＳ Ｐゴシック"/>
            <family val="3"/>
          </rPr>
          <t>リストから選択</t>
        </r>
      </text>
    </comment>
    <comment ref="O24" authorId="0">
      <text>
        <r>
          <rPr>
            <b/>
            <sz val="12"/>
            <color indexed="10"/>
            <rFont val="ＭＳ Ｐゴシック"/>
            <family val="3"/>
          </rPr>
          <t>リストから選択</t>
        </r>
      </text>
    </comment>
    <comment ref="T24" authorId="0">
      <text>
        <r>
          <rPr>
            <b/>
            <sz val="12"/>
            <color indexed="10"/>
            <rFont val="ＭＳ Ｐゴシック"/>
            <family val="3"/>
          </rPr>
          <t>リストから選択</t>
        </r>
      </text>
    </comment>
    <comment ref="J25" authorId="0">
      <text>
        <r>
          <rPr>
            <b/>
            <sz val="12"/>
            <color indexed="10"/>
            <rFont val="ＭＳ Ｐゴシック"/>
            <family val="3"/>
          </rPr>
          <t>リストから選択</t>
        </r>
        <r>
          <rPr>
            <sz val="9"/>
            <rFont val="ＭＳ Ｐゴシック"/>
            <family val="3"/>
          </rPr>
          <t xml:space="preserve">
</t>
        </r>
      </text>
    </comment>
    <comment ref="O25" authorId="0">
      <text>
        <r>
          <rPr>
            <b/>
            <sz val="12"/>
            <color indexed="10"/>
            <rFont val="ＭＳ Ｐゴシック"/>
            <family val="3"/>
          </rPr>
          <t>リストから選択</t>
        </r>
        <r>
          <rPr>
            <sz val="9"/>
            <rFont val="ＭＳ Ｐゴシック"/>
            <family val="3"/>
          </rPr>
          <t xml:space="preserve">
</t>
        </r>
      </text>
    </comment>
    <comment ref="T25" authorId="0">
      <text>
        <r>
          <rPr>
            <b/>
            <sz val="12"/>
            <color indexed="10"/>
            <rFont val="ＭＳ Ｐゴシック"/>
            <family val="3"/>
          </rPr>
          <t>リストから選択</t>
        </r>
        <r>
          <rPr>
            <sz val="9"/>
            <rFont val="ＭＳ Ｐゴシック"/>
            <family val="3"/>
          </rPr>
          <t xml:space="preserve">
</t>
        </r>
      </text>
    </comment>
    <comment ref="C4" authorId="0">
      <text>
        <r>
          <rPr>
            <b/>
            <sz val="12"/>
            <color indexed="10"/>
            <rFont val="ＭＳ Ｐゴシック"/>
            <family val="3"/>
          </rPr>
          <t>リストから選択</t>
        </r>
        <r>
          <rPr>
            <sz val="9"/>
            <rFont val="ＭＳ Ｐゴシック"/>
            <family val="3"/>
          </rPr>
          <t xml:space="preserve">
</t>
        </r>
      </text>
    </comment>
    <comment ref="M6" authorId="0">
      <text>
        <r>
          <rPr>
            <b/>
            <sz val="12"/>
            <color indexed="10"/>
            <rFont val="ＭＳ Ｐゴシック"/>
            <family val="3"/>
          </rPr>
          <t>法人、集団の場合、代表者名を入力</t>
        </r>
        <r>
          <rPr>
            <sz val="9"/>
            <rFont val="ＭＳ Ｐゴシック"/>
            <family val="3"/>
          </rPr>
          <t xml:space="preserve">
</t>
        </r>
      </text>
    </comment>
    <comment ref="C6" authorId="0">
      <text>
        <r>
          <rPr>
            <b/>
            <sz val="14"/>
            <color indexed="10"/>
            <rFont val="ＭＳ Ｐゴシック"/>
            <family val="3"/>
          </rPr>
          <t>個人申請の場合氏名、法人・集団の場合は団体名</t>
        </r>
      </text>
    </comment>
    <comment ref="E36" authorId="0">
      <text>
        <r>
          <rPr>
            <b/>
            <sz val="14"/>
            <color indexed="10"/>
            <rFont val="ＭＳ Ｐゴシック"/>
            <family val="3"/>
          </rPr>
          <t>極力詳細に記入してください</t>
        </r>
      </text>
    </comment>
    <comment ref="J36" authorId="0">
      <text>
        <r>
          <rPr>
            <b/>
            <sz val="14"/>
            <color indexed="10"/>
            <rFont val="ＭＳ Ｐゴシック"/>
            <family val="3"/>
          </rPr>
          <t>極力詳細に記入してください</t>
        </r>
      </text>
    </comment>
    <comment ref="O36" authorId="0">
      <text>
        <r>
          <rPr>
            <b/>
            <sz val="14"/>
            <color indexed="10"/>
            <rFont val="ＭＳ Ｐゴシック"/>
            <family val="3"/>
          </rPr>
          <t>極力詳細に記入してください</t>
        </r>
      </text>
    </comment>
    <comment ref="T36" authorId="0">
      <text>
        <r>
          <rPr>
            <b/>
            <sz val="14"/>
            <color indexed="10"/>
            <rFont val="ＭＳ Ｐゴシック"/>
            <family val="3"/>
          </rPr>
          <t>極力詳細に記入してください</t>
        </r>
      </text>
    </comment>
    <comment ref="E37" authorId="0">
      <text>
        <r>
          <rPr>
            <b/>
            <sz val="12"/>
            <color indexed="10"/>
            <rFont val="ＭＳ Ｐゴシック"/>
            <family val="3"/>
          </rPr>
          <t>リストから選択</t>
        </r>
      </text>
    </comment>
    <comment ref="J37" authorId="0">
      <text>
        <r>
          <rPr>
            <b/>
            <sz val="12"/>
            <color indexed="10"/>
            <rFont val="ＭＳ Ｐゴシック"/>
            <family val="3"/>
          </rPr>
          <t>リストから選択</t>
        </r>
      </text>
    </comment>
    <comment ref="O37" authorId="0">
      <text>
        <r>
          <rPr>
            <b/>
            <sz val="12"/>
            <color indexed="10"/>
            <rFont val="ＭＳ Ｐゴシック"/>
            <family val="3"/>
          </rPr>
          <t>リストから選択</t>
        </r>
      </text>
    </comment>
    <comment ref="T37" authorId="0">
      <text>
        <r>
          <rPr>
            <b/>
            <sz val="12"/>
            <color indexed="10"/>
            <rFont val="ＭＳ Ｐゴシック"/>
            <family val="3"/>
          </rPr>
          <t>リストから選択</t>
        </r>
      </text>
    </comment>
    <comment ref="E38" authorId="0">
      <text>
        <r>
          <rPr>
            <b/>
            <sz val="12"/>
            <color indexed="10"/>
            <rFont val="ＭＳ Ｐゴシック"/>
            <family val="3"/>
          </rPr>
          <t>リストから選択</t>
        </r>
        <r>
          <rPr>
            <sz val="9"/>
            <rFont val="ＭＳ Ｐゴシック"/>
            <family val="3"/>
          </rPr>
          <t xml:space="preserve">
</t>
        </r>
      </text>
    </comment>
    <comment ref="J38" authorId="0">
      <text>
        <r>
          <rPr>
            <b/>
            <sz val="12"/>
            <color indexed="10"/>
            <rFont val="ＭＳ Ｐゴシック"/>
            <family val="3"/>
          </rPr>
          <t>リストから選択</t>
        </r>
        <r>
          <rPr>
            <sz val="9"/>
            <rFont val="ＭＳ Ｐゴシック"/>
            <family val="3"/>
          </rPr>
          <t xml:space="preserve">
</t>
        </r>
      </text>
    </comment>
    <comment ref="O38" authorId="0">
      <text>
        <r>
          <rPr>
            <b/>
            <sz val="12"/>
            <color indexed="10"/>
            <rFont val="ＭＳ Ｐゴシック"/>
            <family val="3"/>
          </rPr>
          <t>リストから選択</t>
        </r>
        <r>
          <rPr>
            <sz val="9"/>
            <rFont val="ＭＳ Ｐゴシック"/>
            <family val="3"/>
          </rPr>
          <t xml:space="preserve">
</t>
        </r>
      </text>
    </comment>
    <comment ref="T38" authorId="0">
      <text>
        <r>
          <rPr>
            <b/>
            <sz val="12"/>
            <color indexed="10"/>
            <rFont val="ＭＳ Ｐゴシック"/>
            <family val="3"/>
          </rPr>
          <t>リストから選択</t>
        </r>
        <r>
          <rPr>
            <sz val="9"/>
            <rFont val="ＭＳ Ｐゴシック"/>
            <family val="3"/>
          </rPr>
          <t xml:space="preserve">
</t>
        </r>
      </text>
    </comment>
    <comment ref="E26" authorId="0">
      <text>
        <r>
          <rPr>
            <b/>
            <sz val="12"/>
            <color indexed="10"/>
            <rFont val="ＭＳ Ｐゴシック"/>
            <family val="3"/>
          </rPr>
          <t>型式を必ず入力</t>
        </r>
      </text>
    </comment>
    <comment ref="J26" authorId="0">
      <text>
        <r>
          <rPr>
            <b/>
            <sz val="12"/>
            <color indexed="10"/>
            <rFont val="ＭＳ Ｐゴシック"/>
            <family val="3"/>
          </rPr>
          <t>型式を必ず入力</t>
        </r>
      </text>
    </comment>
    <comment ref="O26" authorId="0">
      <text>
        <r>
          <rPr>
            <b/>
            <sz val="12"/>
            <color indexed="10"/>
            <rFont val="ＭＳ Ｐゴシック"/>
            <family val="3"/>
          </rPr>
          <t>型式を必ず入力</t>
        </r>
      </text>
    </comment>
    <comment ref="T26" authorId="0">
      <text>
        <r>
          <rPr>
            <b/>
            <sz val="12"/>
            <color indexed="10"/>
            <rFont val="ＭＳ Ｐゴシック"/>
            <family val="3"/>
          </rPr>
          <t>型式を必ず入力</t>
        </r>
      </text>
    </comment>
    <comment ref="C57" authorId="0">
      <text>
        <r>
          <rPr>
            <b/>
            <sz val="14"/>
            <color indexed="10"/>
            <rFont val="ＭＳ Ｐゴシック"/>
            <family val="3"/>
          </rPr>
          <t>リストから選択</t>
        </r>
        <r>
          <rPr>
            <sz val="9"/>
            <rFont val="ＭＳ Ｐゴシック"/>
            <family val="3"/>
          </rPr>
          <t xml:space="preserve">
</t>
        </r>
      </text>
    </comment>
    <comment ref="E49" authorId="0">
      <text>
        <r>
          <rPr>
            <b/>
            <sz val="14"/>
            <color indexed="10"/>
            <rFont val="ＭＳ Ｐゴシック"/>
            <family val="3"/>
          </rPr>
          <t>3者見積を行わなかった場合に入力してください</t>
        </r>
        <r>
          <rPr>
            <sz val="9"/>
            <rFont val="ＭＳ Ｐゴシック"/>
            <family val="3"/>
          </rPr>
          <t xml:space="preserve">
</t>
        </r>
      </text>
    </comment>
    <comment ref="E40" authorId="0">
      <text>
        <r>
          <rPr>
            <b/>
            <sz val="14"/>
            <color indexed="10"/>
            <rFont val="ＭＳ Ｐゴシック"/>
            <family val="3"/>
          </rPr>
          <t>3者見積を行った場合に入力してください</t>
        </r>
        <r>
          <rPr>
            <sz val="14"/>
            <color indexed="10"/>
            <rFont val="ＭＳ Ｐゴシック"/>
            <family val="3"/>
          </rPr>
          <t xml:space="preserve">
</t>
        </r>
      </text>
    </comment>
    <comment ref="J23" authorId="0">
      <text>
        <r>
          <rPr>
            <b/>
            <sz val="18"/>
            <color indexed="10"/>
            <rFont val="ＭＳ Ｐゴシック"/>
            <family val="3"/>
          </rPr>
          <t>２台目の機械はこの列に入力します</t>
        </r>
      </text>
    </comment>
    <comment ref="O23" authorId="0">
      <text>
        <r>
          <rPr>
            <b/>
            <sz val="18"/>
            <color indexed="10"/>
            <rFont val="ＭＳ Ｐゴシック"/>
            <family val="3"/>
          </rPr>
          <t>３台目の機械はこの列に入力します</t>
        </r>
        <r>
          <rPr>
            <sz val="9"/>
            <rFont val="ＭＳ Ｐゴシック"/>
            <family val="3"/>
          </rPr>
          <t xml:space="preserve">
</t>
        </r>
      </text>
    </comment>
    <comment ref="T23" authorId="0">
      <text>
        <r>
          <rPr>
            <b/>
            <sz val="18"/>
            <color indexed="10"/>
            <rFont val="ＭＳ Ｐゴシック"/>
            <family val="3"/>
          </rPr>
          <t>４台目の機械はこの列に入力します</t>
        </r>
      </text>
    </comment>
    <comment ref="L21" authorId="0">
      <text>
        <r>
          <rPr>
            <b/>
            <sz val="14"/>
            <color indexed="10"/>
            <rFont val="ＭＳ Ｐゴシック"/>
            <family val="3"/>
          </rPr>
          <t>８月１２日以降の日付で</t>
        </r>
      </text>
    </comment>
    <comment ref="E23" authorId="0">
      <text>
        <r>
          <rPr>
            <b/>
            <sz val="18"/>
            <color indexed="10"/>
            <rFont val="ＭＳ Ｐゴシック"/>
            <family val="3"/>
          </rPr>
          <t>１台目の機械はこの列に入力</t>
        </r>
      </text>
    </comment>
    <comment ref="B36" authorId="0">
      <text>
        <r>
          <rPr>
            <b/>
            <sz val="12"/>
            <color indexed="10"/>
            <rFont val="ＭＳ Ｐゴシック"/>
            <family val="3"/>
          </rPr>
          <t xml:space="preserve">記載例
</t>
        </r>
        <r>
          <rPr>
            <b/>
            <sz val="12"/>
            <color indexed="48"/>
            <rFont val="ＭＳ Ｐゴシック"/>
            <family val="3"/>
          </rPr>
          <t>夏場の暑熱対策のため、搾乳牛舎に対応した換気扇○○台（送風能力○○頭規模）を設置し、搾乳牛○○頭の生産性を向上させる。</t>
        </r>
        <r>
          <rPr>
            <b/>
            <sz val="12"/>
            <color indexed="11"/>
            <rFont val="ＭＳ Ｐゴシック"/>
            <family val="3"/>
          </rPr>
          <t xml:space="preserve">
</t>
        </r>
        <r>
          <rPr>
            <b/>
            <sz val="12"/>
            <color indexed="10"/>
            <rFont val="ＭＳ Ｐゴシック"/>
            <family val="3"/>
          </rPr>
          <t xml:space="preserve">
</t>
        </r>
        <r>
          <rPr>
            <b/>
            <sz val="12"/>
            <color indexed="57"/>
            <rFont val="ＭＳ Ｐゴシック"/>
            <family val="3"/>
          </rPr>
          <t>自給飼料生産のため、飼料収穫機械として、農地面積○○ヘクタールに対応したモアコンディショナー１台（収穫能力○○トン/時）を導入し、飼料自給率の向上を図る。</t>
        </r>
        <r>
          <rPr>
            <b/>
            <sz val="12"/>
            <color indexed="10"/>
            <rFont val="ＭＳ Ｐゴシック"/>
            <family val="3"/>
          </rPr>
          <t xml:space="preserve">
</t>
        </r>
        <r>
          <rPr>
            <b/>
            <sz val="12"/>
            <color indexed="14"/>
            <rFont val="ＭＳ Ｐゴシック"/>
            <family val="3"/>
          </rPr>
          <t>新たな飼料として飼料米利用をするため、粉砕機１台（生産能力○○トン/時）を導入し、肥育牛○○頭に給餌することで飼料自給率の向上を図る。</t>
        </r>
        <r>
          <rPr>
            <b/>
            <sz val="12"/>
            <color indexed="10"/>
            <rFont val="ＭＳ Ｐゴシック"/>
            <family val="3"/>
          </rPr>
          <t xml:space="preserve">
</t>
        </r>
        <r>
          <rPr>
            <b/>
            <sz val="12"/>
            <color indexed="61"/>
            <rFont val="ＭＳ Ｐゴシック"/>
            <family val="3"/>
          </rPr>
          <t>搾乳牛○○頭に対する給餌のため、これに対応できる自動給餌機（○○頭対応/時）を導入し、畜産経営における労働力軽減を図る。</t>
        </r>
        <r>
          <rPr>
            <sz val="9"/>
            <rFont val="ＭＳ Ｐゴシック"/>
            <family val="3"/>
          </rPr>
          <t xml:space="preserve">
</t>
        </r>
      </text>
    </comment>
    <comment ref="A85" authorId="0">
      <text>
        <r>
          <rPr>
            <b/>
            <sz val="14"/>
            <color indexed="18"/>
            <rFont val="ＭＳ Ｐゴシック"/>
            <family val="3"/>
          </rPr>
          <t>記載例
・当該農家からの排水については、環境基準を遵守しているものの、周辺住民から匂い等について苦情があり、早急な改善が求められている。
・当該農家からの排水については、条例で定めた排水基準を遵守しているが、さらに畜産排水負荷の軽減（亜硝酸化合物について１０％以上の低減）を図るための取組を行いたいとの要望がある。
・当該農家からの排水については、条例で定められた基準を遵守しているが、農家が属する市からの指導により、さらに基準の強化が求められている。
・当該農家では、今後の規模拡大により、周辺住民からの匂い等に対する苦情が予想されるため、今のうちに対応を図りたいとの要望がある。</t>
        </r>
        <r>
          <rPr>
            <b/>
            <sz val="14"/>
            <rFont val="ＭＳ Ｐゴシック"/>
            <family val="3"/>
          </rPr>
          <t xml:space="preserve">
</t>
        </r>
        <r>
          <rPr>
            <b/>
            <sz val="9"/>
            <rFont val="ＭＳ Ｐゴシック"/>
            <family val="3"/>
          </rPr>
          <t xml:space="preserve">
</t>
        </r>
      </text>
    </comment>
    <comment ref="A40" authorId="0">
      <text>
        <r>
          <rPr>
            <b/>
            <sz val="14"/>
            <color indexed="48"/>
            <rFont val="ＭＳ Ｐゴシック"/>
            <family val="3"/>
          </rPr>
          <t>なぜその機械を選定したかの選定理由を記入してください
例　３ｍ以上の刈巾を有しており今回の面積拡大を図るにあたって十分な作業能力を有するモアコンディショナー
例　0.8㎥のバケット容量があり、積み込み作業の大幅な軽減を図ることが可能なショベルローダー</t>
        </r>
      </text>
    </comment>
    <comment ref="L82" authorId="0">
      <text>
        <r>
          <rPr>
            <b/>
            <sz val="14"/>
            <color indexed="10"/>
            <rFont val="ＭＳ Ｐゴシック"/>
            <family val="3"/>
          </rPr>
          <t>与信審査に係る所見を詳細に記入してください、経営状況に関するコメントを必ず記入してください</t>
        </r>
      </text>
    </comment>
    <comment ref="J81" authorId="0">
      <text>
        <r>
          <rPr>
            <b/>
            <sz val="18"/>
            <color indexed="10"/>
            <rFont val="ＭＳ Ｐゴシック"/>
            <family val="3"/>
          </rPr>
          <t>入力しなくても様式で自動計算しますので、印刷内容をチェックしてください</t>
        </r>
      </text>
    </comment>
    <comment ref="A34" authorId="0">
      <text>
        <r>
          <rPr>
            <b/>
            <sz val="18"/>
            <color indexed="10"/>
            <rFont val="ＭＳ Ｐゴシック"/>
            <family val="3"/>
          </rPr>
          <t>設置場所の住所を郡名から記入してください</t>
        </r>
      </text>
    </comment>
    <comment ref="K79" authorId="0">
      <text>
        <r>
          <rPr>
            <b/>
            <sz val="16"/>
            <color indexed="10"/>
            <rFont val="ＭＳ Ｐゴシック"/>
            <family val="3"/>
          </rPr>
          <t>長男、次男等申請者から見た関係を記入してください</t>
        </r>
      </text>
    </comment>
    <comment ref="N79" authorId="0">
      <text>
        <r>
          <rPr>
            <b/>
            <sz val="16"/>
            <color indexed="10"/>
            <rFont val="ＭＳ Ｐゴシック"/>
            <family val="3"/>
          </rPr>
          <t>長男、次男等申請者から見た関係を記入してください</t>
        </r>
        <r>
          <rPr>
            <sz val="14"/>
            <rFont val="ＭＳ Ｐゴシック"/>
            <family val="3"/>
          </rPr>
          <t xml:space="preserve">
</t>
        </r>
      </text>
    </comment>
  </commentList>
</comments>
</file>

<file path=xl/sharedStrings.xml><?xml version="1.0" encoding="utf-8"?>
<sst xmlns="http://schemas.openxmlformats.org/spreadsheetml/2006/main" count="2063" uniqueCount="1248">
  <si>
    <t>予備71</t>
  </si>
  <si>
    <t>予備71</t>
  </si>
  <si>
    <t>予備72</t>
  </si>
  <si>
    <t>予備72</t>
  </si>
  <si>
    <t>予備73</t>
  </si>
  <si>
    <t>予備73</t>
  </si>
  <si>
    <t>予備74</t>
  </si>
  <si>
    <t>予備74</t>
  </si>
  <si>
    <t>現状_家畜飼養状況_肉牛_委託</t>
  </si>
  <si>
    <t>現状_家畜飼養状況_肉豚_委託</t>
  </si>
  <si>
    <t>現状_家畜飼養状況_採卵鶏_委託</t>
  </si>
  <si>
    <t>現状_家畜飼養状況_ブロイラー_委託</t>
  </si>
  <si>
    <t>予備41</t>
  </si>
  <si>
    <t>事業名</t>
  </si>
  <si>
    <t>機械1_機械を必要とする理由</t>
  </si>
  <si>
    <t>機械1_成果目標1</t>
  </si>
  <si>
    <t>機械1_成果目標2</t>
  </si>
  <si>
    <t>機械2_機械を必要とする理由</t>
  </si>
  <si>
    <t>機械2_成果目標1</t>
  </si>
  <si>
    <t>機械2_成果目標2</t>
  </si>
  <si>
    <t>機械3_機械を必要とする理由</t>
  </si>
  <si>
    <t>機械3_成果目標1</t>
  </si>
  <si>
    <t>機械3_成果目標2</t>
  </si>
  <si>
    <t>機械4_機械を必要とする理由</t>
  </si>
  <si>
    <t>機械4_成果目標1</t>
  </si>
  <si>
    <t>機械4_成果目標2</t>
  </si>
  <si>
    <t>更新日時</t>
  </si>
  <si>
    <t>現状_飼料畑_田借地</t>
  </si>
  <si>
    <t>現状_飼料畑_畑借地</t>
  </si>
  <si>
    <t>現状_飼料畑_草地借地</t>
  </si>
  <si>
    <t>2</t>
  </si>
  <si>
    <t>畜産自給力強化緊急支援事業貸付機械共同利用誓約書</t>
  </si>
  <si>
    <t>この誓約書は、畜産自給力強化緊急支援事業貸付機械等の共同利用の原則を定め、集団の構成員の相互の信頼をもとに貸付機械の利用管理の適正を図るために定める。</t>
  </si>
  <si>
    <t>リース会社</t>
  </si>
  <si>
    <t>万羽</t>
  </si>
  <si>
    <t>写</t>
  </si>
  <si>
    <t>借受者記入項目</t>
  </si>
  <si>
    <t>事業名</t>
  </si>
  <si>
    <t>商系基金_本年度</t>
  </si>
  <si>
    <t>経営形態_酪農経営</t>
  </si>
  <si>
    <t>経営形態_肉用牛経営_繁殖</t>
  </si>
  <si>
    <t>経営形態_肉用牛経営_育成</t>
  </si>
  <si>
    <t>経営形態_肉用牛経営_肥育</t>
  </si>
  <si>
    <t>経営形態_養豚経営</t>
  </si>
  <si>
    <t>経営形態_採卵鶏</t>
  </si>
  <si>
    <t>経営形態_肉用鶏</t>
  </si>
  <si>
    <t>経営形態_その他</t>
  </si>
  <si>
    <t>配合飼料の購入先_農協</t>
  </si>
  <si>
    <t>配合飼料の購入先_農業協同組合_支店</t>
  </si>
  <si>
    <t>配合飼料の購入先_商系1</t>
  </si>
  <si>
    <t>配合飼料の購入先_飼料販売代理店_支店</t>
  </si>
  <si>
    <t>配合飼料の購入先_商系2</t>
  </si>
  <si>
    <t>配合飼料の購入先_飼料株式会社_支店</t>
  </si>
  <si>
    <t>配合飼料の購入先_商系3</t>
  </si>
  <si>
    <t>借受団体_団体名</t>
  </si>
  <si>
    <t>借受団体_電話番号</t>
  </si>
  <si>
    <t>借受団体_代表者区分</t>
  </si>
  <si>
    <t>借受団体_代表者名</t>
  </si>
  <si>
    <t>借受団体_農協担当部署</t>
  </si>
  <si>
    <t>借受団体_担当者名</t>
  </si>
  <si>
    <t>借受団体_部署電話</t>
  </si>
  <si>
    <t>借受団体_郵便番号</t>
  </si>
  <si>
    <t>借受団体_住所</t>
  </si>
  <si>
    <t>借受団体_Ｅメールアドレス</t>
  </si>
  <si>
    <t>組合員の加入時期</t>
  </si>
  <si>
    <t>年齢</t>
  </si>
  <si>
    <t>後継者</t>
  </si>
  <si>
    <t>後継者との関係</t>
  </si>
  <si>
    <t>労働力_家族</t>
  </si>
  <si>
    <t>労働力_雇用</t>
  </si>
  <si>
    <t>営農上の収支状況_売上収入</t>
  </si>
  <si>
    <t>営農上の収支状況_営業収益</t>
  </si>
  <si>
    <t>営農上の収支状況_損益</t>
  </si>
  <si>
    <t>営農上の収支状況_借入金総額</t>
  </si>
  <si>
    <t>営農上の収支状況_売上げ収入に占める借入金の割合</t>
  </si>
  <si>
    <t>営農上の収支状況_繰越損益</t>
  </si>
  <si>
    <t>営農上の収支状況_法人の場合の資本金</t>
  </si>
  <si>
    <t>営農上の収支状況_法人の構成比</t>
  </si>
  <si>
    <t>営農上の収支状況_所見</t>
  </si>
  <si>
    <t>現地納入業者に対する与信</t>
  </si>
  <si>
    <t>所見</t>
  </si>
  <si>
    <t>更新日時</t>
  </si>
  <si>
    <t>氏名：</t>
  </si>
  <si>
    <t>貸付申請者</t>
  </si>
  <si>
    <t>貸付申請者（所属農協）</t>
  </si>
  <si>
    <t>電話番号</t>
  </si>
  <si>
    <t>後継者</t>
  </si>
  <si>
    <t>住　所</t>
  </si>
  <si>
    <t>貸付申請者</t>
  </si>
  <si>
    <t>有</t>
  </si>
  <si>
    <t>無</t>
  </si>
  <si>
    <t>貸付申請者との関係（有の場合記載）</t>
  </si>
  <si>
    <t>組合員等への加入時期</t>
  </si>
  <si>
    <t>（法人の場合）</t>
  </si>
  <si>
    <t>資本金（出資金）および構成内訳</t>
  </si>
  <si>
    <t>総額</t>
  </si>
  <si>
    <t>内訳</t>
  </si>
  <si>
    <t>労働力（従業員数）</t>
  </si>
  <si>
    <t>人</t>
  </si>
  <si>
    <t>（そのうち家族労働）</t>
  </si>
  <si>
    <t>（そのうち雇用労働）</t>
  </si>
  <si>
    <t>最近の経営状況等</t>
  </si>
  <si>
    <t>直近決算年度</t>
  </si>
  <si>
    <t>売上収入</t>
  </si>
  <si>
    <t>借入金総額</t>
  </si>
  <si>
    <t>営業収益</t>
  </si>
  <si>
    <t>個人申請、法人申請、集団申請をプルダウンで選択</t>
  </si>
  <si>
    <t>電話番号は市外局番から、住所は郡名もしくは市から始めてください</t>
  </si>
  <si>
    <t>借受農地がある場合必ず入力してください</t>
  </si>
  <si>
    <t>リース期間は５～7年から選択、申請月日は必ず入れること</t>
  </si>
  <si>
    <t>銘柄名をプルダウンから選択してください</t>
  </si>
  <si>
    <t>型式を入力してください（必ず入れてください）</t>
  </si>
  <si>
    <t>機械名をプルダウンから選択してください（例.ジャイロテッダー　⇒　テッダー　を選びます）</t>
  </si>
  <si>
    <t>メーカー希望小売価格を入力してください、オープン価格の場合はオープンと入力</t>
  </si>
  <si>
    <t>現地納入業者を入力してください</t>
  </si>
  <si>
    <t>現地納入業者の住所を郡名、市から入力してください</t>
  </si>
  <si>
    <t>現地納入業者の電話番号を市外局番から入力してください</t>
  </si>
  <si>
    <t>カタログの原本証明を行う日付を入力してください（○／○　もしくは平成○○年○月○日）申請日以前の日付</t>
  </si>
  <si>
    <t>機械を必要とする理由・必然性を入力してください（極力詳しく書いてください）</t>
  </si>
  <si>
    <t>事業の成果目標をプルダウンから選んでください（必須）</t>
  </si>
  <si>
    <t>事業の成果目標をプルダウンから選んでください（2つ選んでもかまいません）</t>
  </si>
  <si>
    <t>見積合わせの選定基準を入力してください（機械の能力などを入力します）</t>
  </si>
  <si>
    <t>見積合わせの実施年月日を入力してください（申請月日以前の日付となります）</t>
  </si>
  <si>
    <t>相見積の業者名を入力します</t>
  </si>
  <si>
    <t>相見積の見積価格を入力します（数値だけ入力してください）</t>
  </si>
  <si>
    <t>見積合わせを行わなかった場合の機械の選定理由を入力します</t>
  </si>
  <si>
    <t>情報の提供元と情報内容を入力してください</t>
  </si>
  <si>
    <t>）</t>
  </si>
  <si>
    <t>ﾌﾞﾛｲﾗｰ</t>
  </si>
  <si>
    <t>㈱ホクレン商事</t>
  </si>
  <si>
    <t>札幌市北区北７条西１丁目2-6NSSニューステージ札幌ビル８F</t>
  </si>
  <si>
    <t>０１１－７５６－７０９９</t>
  </si>
  <si>
    <t>（１）農業環境規範に基づく点検シート</t>
  </si>
  <si>
    <t>（２）導入する機械等の見積書</t>
  </si>
  <si>
    <t>　ア）認定農業者又は知事特認の認定書面（写し）</t>
  </si>
  <si>
    <t>（３）導入する機械等の原本証明付きカタログ又は設計図面　等</t>
  </si>
  <si>
    <t>（４）配合飼料価格安定制度加入に関する申告書</t>
  </si>
  <si>
    <t>２．借受希望機械</t>
  </si>
  <si>
    <r>
      <t>借受希望機械の導入の理由・必然性</t>
    </r>
    <r>
      <rPr>
        <sz val="11"/>
        <color indexed="10"/>
        <rFont val="ＭＳ Ｐゴシック"/>
        <family val="3"/>
      </rPr>
      <t>（記載例あり）</t>
    </r>
  </si>
  <si>
    <t>具体的に活用した情報を入力してください</t>
  </si>
  <si>
    <t>自主調査を行った農家の概要を入力してください</t>
  </si>
  <si>
    <t>調査機械の概要を入力してください</t>
  </si>
  <si>
    <t>業者との価格交渉経過を入力してください（なるべく詳しく）</t>
  </si>
  <si>
    <t>２．３．４を選んだ場合加入の意思を選択、加入予定月を入力してください</t>
  </si>
  <si>
    <t>畜産経営者名簿に登録されている個人経営者名もしくは法人経営者名を入力してください</t>
  </si>
  <si>
    <t>法人の場合は代表者名も忘れずに入力してください</t>
  </si>
  <si>
    <t>配合飼料価格安定制度への加入状況を選んでください１．２．３．４．から必ず選んでください</t>
  </si>
  <si>
    <t>配合飼料価格安定基金への加入状況を、該当する欄に○を選んでください</t>
  </si>
  <si>
    <t>○⇒空欄にする場合はバックスペースキーを押します</t>
  </si>
  <si>
    <t>経営形態の該当する箇所に○を選んでください、○⇒空欄にする場合はバックスペースキーを押します</t>
  </si>
  <si>
    <r>
      <t>早急に排水対策が必要な理由　　　　　　　</t>
    </r>
    <r>
      <rPr>
        <sz val="11"/>
        <color indexed="10"/>
        <rFont val="ＭＳ Ｐゴシック"/>
        <family val="3"/>
      </rPr>
      <t>(記載例あり）</t>
    </r>
  </si>
  <si>
    <t>早急に排水対策が必要な理由を記入してください</t>
  </si>
  <si>
    <t>一人の申請者が機械を複数台数申請する場合は横の列に入力します（左詰め）</t>
  </si>
  <si>
    <t>配合飼料の購入先を記入してください：農協の場合</t>
  </si>
  <si>
    <t>配合飼料の購入先を記入してください：飼料販売代理店の場合</t>
  </si>
  <si>
    <t>配合飼料の購入先を記入してください：飼料株式会社の場合</t>
  </si>
  <si>
    <t>配合飼料の購入先を記入してください：その他の場合</t>
  </si>
  <si>
    <t>借受団体の情報を入力してください</t>
  </si>
  <si>
    <t>全て必須となりますので空欄のないように入力してください</t>
  </si>
  <si>
    <t>乳牛(委託）：</t>
  </si>
  <si>
    <t>肉牛（委託）：</t>
  </si>
  <si>
    <t>肉豚（委託）：</t>
  </si>
  <si>
    <t>採卵鶏（委託）：</t>
  </si>
  <si>
    <t>ブロイラー（委託）：</t>
  </si>
  <si>
    <t>合計（委託）：</t>
  </si>
  <si>
    <t>事業の成果目標①</t>
  </si>
  <si>
    <t>事業の成果目標②</t>
  </si>
  <si>
    <t>様式２号(借受申請者⇒農協）</t>
  </si>
  <si>
    <t>畜産自給力強化緊急支援事業補助金交付申請書</t>
  </si>
  <si>
    <t>（事業名：</t>
  </si>
  <si>
    <t>　平成２１年度畜産自給力強化緊急支援事業を下記のとおり実施したいので、独立行政法人農畜産業振興機構からの補助金による交付を受けたく、畜産自給力強化緊急支援事業実施要領第２の１の規定に基づき、関係書類を添えて申請します。</t>
  </si>
  <si>
    <t>１．借受申請者の状況等（平成２１年３月末時点）</t>
  </si>
  <si>
    <t>（内委託家畜）</t>
  </si>
  <si>
    <t>２）委託家畜の飼養頭数（羽数）及び借受農地の飼料畑等は、（　）して内数を記入して下さい。</t>
  </si>
  <si>
    <t>３．機械導入の成果目標</t>
  </si>
  <si>
    <t>４．借受希望機械の導入の理由・必然性</t>
  </si>
  <si>
    <t>５．受託団体等</t>
  </si>
  <si>
    <t>（住所）</t>
  </si>
  <si>
    <t>(住所）</t>
  </si>
  <si>
    <t>６．添付書類</t>
  </si>
  <si>
    <t>（各事業共通）</t>
  </si>
  <si>
    <t>（各事業個別）</t>
  </si>
  <si>
    <t>（１）畜産経営強化緊急支援事業</t>
  </si>
  <si>
    <t>（２）飼料増産受託組織等対策事業</t>
  </si>
  <si>
    <t>　ア）飼料作物作業受託面積表</t>
  </si>
  <si>
    <t>（５）共同利用誓約書（共同利用の場合のみの添付）</t>
  </si>
  <si>
    <t>　イ）経営の高度化を行うことが確実と判断できる書類（写し）</t>
  </si>
  <si>
    <t>（６）組織の規約・定款（写し）（法人・集団の場合必要）</t>
  </si>
  <si>
    <t>（３）畜産排水対策緊急事業</t>
  </si>
  <si>
    <t>（７）その他事業主体が別途定める書類</t>
  </si>
  <si>
    <t>　ア）早急に排水対策が必要な理由を証する書類（写し）</t>
  </si>
  <si>
    <t>　家畜の飼養・生産に伴う悪臭・害虫の発生は、主として畜舎における家畜の飼養過程や家畜排せつ物の処理・保管過程に起因し、畜産経営への苦情発生要因の中の多くを占めることから、その防止・低減に資するため、畜舎からのふん尿の早期搬出や施設内外の清掃など、家畜の飼養・生産に伴う悪臭・害虫の発生を防止・低減する取組を励行する。</t>
  </si>
  <si>
    <t>　循環型社会の形成や農業の自然循環機能の促進に資するため、家畜排せつ物のたい肥化、液肥化またはスラリー処理等を行い、作物生産等への利用の促進に努める。ただし、作物生産等への利用が困難な場合又はより適切な処理・利用方法がある場合には、炭化、焼却、汚水浄化、委託処分等の適切な方法による処理等に努める。また、地域的条件等に応じ可能な場合についてはメタン発酵等によるエネルギー処理に努める。</t>
  </si>
  <si>
    <t>　環境型社会の形成や大気、水等の環境の保全に資するため、使用済みプラスチック等の廃棄物、臭気および排水等の経営体外への排出等に際して、関連する環境法令に応じた処分等に努めるなど適切に対応する。</t>
  </si>
  <si>
    <t>　温室効果ガスである二酸化炭素の排出抑制や資源の有効活用に資するため、畜舎内の照明、温度管理など施設・機械等の使用や導入に際して、不必要・非効率的なエネルギー消費がないよう努める。</t>
  </si>
  <si>
    <t>　環境との調和を図るため、家畜の飼養・生産に伴う環境影響などに関する新たな知見と適切な対処に必要な情報の収集に努める。</t>
  </si>
  <si>
    <t>貸付機械を共同利用するための、利用計画及び方法は年次毎に別に定めることとする。</t>
  </si>
  <si>
    <t>貸付機械の係る費用等（貸付料・保険料負担・公租公課等）については、構成員の中で取り組めるものとする。</t>
  </si>
  <si>
    <t>借受者名：申請者が個人の場合および法人・集団の場合は団体名</t>
  </si>
  <si>
    <t>代表者名：法人・集団の場合は代表者名を記入</t>
  </si>
  <si>
    <t>全て数値で入力してください、養豚については一貫経営の場合、肥育豚換算（母豚×10頭）で入力</t>
  </si>
  <si>
    <t>上段は該当する家畜の頭数</t>
  </si>
  <si>
    <t>下段はそのうち委託の頭数</t>
  </si>
  <si>
    <t>上段は該当する家畜の頭数（羽数）</t>
  </si>
  <si>
    <t>下段はそのうち委託の頭数（羽数）</t>
  </si>
  <si>
    <t>飼料畑の面積を入力してください</t>
  </si>
  <si>
    <t>補助金額は見積価格の３分の1（千円未満切捨て）</t>
  </si>
  <si>
    <t>見積価格－補助金額</t>
  </si>
  <si>
    <t>現地納入業者と同一になります</t>
  </si>
  <si>
    <t>現地納入業者の見積価格となります</t>
  </si>
  <si>
    <t>売上収入等は数値で入力してください</t>
  </si>
  <si>
    <t>１台目の機械に対する共同利用誓約書しか作成できませんのでご了承願います</t>
  </si>
  <si>
    <t>Q8</t>
  </si>
  <si>
    <t>リストから○を選んだあとに消すにはどうしたらいいですか？</t>
  </si>
  <si>
    <t>A8</t>
  </si>
  <si>
    <t>バックスペースもしくはDeleteキーで消すことが出来ます</t>
  </si>
  <si>
    <t>本誓約書に記載ない事項は構成員全員の賛成により決定する。</t>
  </si>
  <si>
    <t xml:space="preserve">本誓約書は、貸付機械の検収の日から発行するものとする。なお、本誓約書を改訂したとき及び構成員に変更が生じたときは、借受者へ届けるものとする。
</t>
  </si>
  <si>
    <t>(事業名：</t>
  </si>
  <si>
    <t>畜産自給力強化緊急支援事業への参加申請に係る配合飼料価格安定制度加入に関する申告書</t>
  </si>
  <si>
    <t>乳牛：</t>
  </si>
  <si>
    <t>頭</t>
  </si>
  <si>
    <t>肉牛</t>
  </si>
  <si>
    <t>肉豚</t>
  </si>
  <si>
    <t>採卵鶏</t>
  </si>
  <si>
    <t>万羽</t>
  </si>
  <si>
    <t>ﾌﾞﾛｲﾗｰ</t>
  </si>
  <si>
    <t>田：</t>
  </si>
  <si>
    <t>ha</t>
  </si>
  <si>
    <t>畑：</t>
  </si>
  <si>
    <t>草地：</t>
  </si>
  <si>
    <t>区分</t>
  </si>
  <si>
    <t>見積価格</t>
  </si>
  <si>
    <t>購入価格①</t>
  </si>
  <si>
    <t>補助金額②</t>
  </si>
  <si>
    <t>取得価格①－②</t>
  </si>
  <si>
    <t>機械名</t>
  </si>
  <si>
    <t>銘柄</t>
  </si>
  <si>
    <t>型式</t>
  </si>
  <si>
    <t>納入業者名称</t>
  </si>
  <si>
    <t>設置場所</t>
  </si>
  <si>
    <t>所在地</t>
  </si>
  <si>
    <t>電話番号</t>
  </si>
  <si>
    <t>㈱ホクレン商事</t>
  </si>
  <si>
    <t>札幌市北区北７条西１丁目2-6NSSニューステージ札幌ビル８F</t>
  </si>
  <si>
    <t>０１１－７５６－７０９９</t>
  </si>
  <si>
    <t>様式２号(借受申請者⇒農協）</t>
  </si>
  <si>
    <t>（事業名：</t>
  </si>
  <si>
    <t>）</t>
  </si>
  <si>
    <t>殿</t>
  </si>
  <si>
    <t>　平成２１年度畜産自給力強化緊急支援事業を下記のとおり実施したいので、独立行政法人農畜産業振興機構からの補助金による交付を受けたく、畜産自給力強化緊急支援事業実施要領第２の１の規定に基づき、関係書類を添えて申請します。</t>
  </si>
  <si>
    <t>（借受申請者）</t>
  </si>
  <si>
    <t>住所</t>
  </si>
  <si>
    <t>氏名（名称）</t>
  </si>
  <si>
    <t>代表者名</t>
  </si>
  <si>
    <t>記</t>
  </si>
  <si>
    <t>１．借受申請者の状況等（平成２１年３月末時点）</t>
  </si>
  <si>
    <t>２）委託家畜の飼養頭数（羽数）及び借受農地の飼料畑等は、（　）して内数を記入して下さい。</t>
  </si>
  <si>
    <t>注）借受希望機械の区分欄は、実施要領別表１に定められた分類①生産性向上に資する機械、②労働力軽減に資する機械、③飼料自給率向上に資する機械を記載して下さい。</t>
  </si>
  <si>
    <t>３．機械導入の成果目標</t>
  </si>
  <si>
    <t>４．借受希望機械の導入の理由・必然性</t>
  </si>
  <si>
    <t>５．受託団体等</t>
  </si>
  <si>
    <t>受託団体</t>
  </si>
  <si>
    <t>リース会社</t>
  </si>
  <si>
    <t>期間</t>
  </si>
  <si>
    <t>（住所）</t>
  </si>
  <si>
    <t>(住所）</t>
  </si>
  <si>
    <t>（電話）</t>
  </si>
  <si>
    <t>(電話）</t>
  </si>
  <si>
    <t>６．添付書類</t>
  </si>
  <si>
    <t>（各事業共通）</t>
  </si>
  <si>
    <t>（各事業個別）</t>
  </si>
  <si>
    <t>（１）農業環境規範に基づく点検シート</t>
  </si>
  <si>
    <t>（１）畜産経営強化緊急支援事業</t>
  </si>
  <si>
    <t>（２）導入する機械等の見積書</t>
  </si>
  <si>
    <t>　ア）認定農業者又は知事特認の認定書面（写し）</t>
  </si>
  <si>
    <t>（３）導入する機械等の原本証明付きカタログ又は設計図面　等</t>
  </si>
  <si>
    <t>（２）飼料増産受託組織等対策事業</t>
  </si>
  <si>
    <t>（４）配合飼料価格安定制度加入に関する申告書</t>
  </si>
  <si>
    <t>　ア）飼料作物作業受託面積表</t>
  </si>
  <si>
    <t>（５）共同利用誓約書（共同利用の場合のみの添付）</t>
  </si>
  <si>
    <t>　イ）経営の高度化を行うことが確実と判断できる書類（写し）</t>
  </si>
  <si>
    <t>（６）組織の規約・定款（写し）（法人・集団の場合必要）</t>
  </si>
  <si>
    <t>（３）畜産排水対策緊急事業</t>
  </si>
  <si>
    <t>（７）その他事業主体が別途定める書類</t>
  </si>
  <si>
    <t>　ア）早急に排水対策が必要な理由を証する書類（写し）</t>
  </si>
  <si>
    <t>事業実施主体等が本事業の参加に係る上記内容を関係機関に提供することについて同意いたします。</t>
  </si>
  <si>
    <t>見積価格を入力してください(数値で）</t>
  </si>
  <si>
    <t>借受者の与信審査を行う欄です</t>
  </si>
  <si>
    <t>法人の場合は資本金、資本の構成比を必ず入力してください</t>
  </si>
  <si>
    <t>現地納入業者への与信と所見を入力してください</t>
  </si>
  <si>
    <t>集団の構成員人数を入力してください</t>
  </si>
  <si>
    <t>管理責任者は管理責任者の欄に管理責任者と入力</t>
  </si>
  <si>
    <t>構成員の氏名・住所を入力してください</t>
  </si>
  <si>
    <t>保管場所を忘れずに入力してください</t>
  </si>
  <si>
    <t>売上収入に占める借入金の割合</t>
  </si>
  <si>
    <t>損益（税引き後）</t>
  </si>
  <si>
    <t>繰越損益</t>
  </si>
  <si>
    <t>所見</t>
  </si>
  <si>
    <t>以上の内容において、経営状況等与信審査に問題は無いことを証明します。</t>
  </si>
  <si>
    <t>再貸付者名</t>
  </si>
  <si>
    <t>（代表者名）</t>
  </si>
  <si>
    <t>経営状況についての　　審査結果</t>
  </si>
  <si>
    <t>ホクレン農業協同組合連合会</t>
  </si>
  <si>
    <t>代表理事会長</t>
  </si>
  <si>
    <t>佐藤俊彰</t>
  </si>
  <si>
    <t>【記入者】</t>
  </si>
  <si>
    <t>所属団体名</t>
  </si>
  <si>
    <t>部課名</t>
  </si>
  <si>
    <t>氏　名</t>
  </si>
  <si>
    <t>様式４号</t>
  </si>
  <si>
    <t>注１）養豚については一貫経営の場合、肥育豚換算（母豚×１０頭）した数値を記入して下さい。</t>
  </si>
  <si>
    <t>佐藤　俊彰</t>
  </si>
  <si>
    <t>借受者</t>
  </si>
  <si>
    <t>代表者氏名</t>
  </si>
  <si>
    <t>１．貸付申請の内容</t>
  </si>
  <si>
    <t>（１）貸付申請者の氏名（団体名）</t>
  </si>
  <si>
    <t>（２）貸付申請者の住所（所在地）</t>
  </si>
  <si>
    <t>　3者の見積合わせを実施し、最低価格を提示した販売業者を選定した。</t>
  </si>
  <si>
    <t>記録者名</t>
  </si>
  <si>
    <t>（貸付申請者、借受団体の担当者）</t>
  </si>
  <si>
    <t>１．見積合わせの実施者等</t>
  </si>
  <si>
    <t>（１）実施者氏名（団体名）</t>
  </si>
  <si>
    <t>（２）実施年月日</t>
  </si>
  <si>
    <t>（３）貸付対象機械名等</t>
  </si>
  <si>
    <t>３．見積合わせの結果</t>
  </si>
  <si>
    <t>＊本報告は、借受者（農協等）段階で保存することとし、連合会への提出は必要としません。</t>
  </si>
  <si>
    <t>（</t>
  </si>
  <si>
    <t>販社名</t>
  </si>
  <si>
    <t xml:space="preserve">   </t>
  </si>
  <si>
    <t>見積価格（税別）</t>
  </si>
  <si>
    <t>(　　現地納入業者　　)</t>
  </si>
  <si>
    <t>原本に相違ないことを証明します。</t>
  </si>
  <si>
    <t>住　所：</t>
  </si>
  <si>
    <t>名　称：</t>
  </si>
  <si>
    <t>ホクレン農業協同組合連合会　宛</t>
  </si>
  <si>
    <t>(　事業主体　)</t>
  </si>
  <si>
    <t>（　農協控　）</t>
  </si>
  <si>
    <t>（　末端借受者用　）</t>
  </si>
  <si>
    <t>スター</t>
  </si>
  <si>
    <t>タカキタ</t>
  </si>
  <si>
    <t>ＴＣＭ</t>
  </si>
  <si>
    <t>コマツ</t>
  </si>
  <si>
    <t>ビコン</t>
  </si>
  <si>
    <t>コベルコ</t>
  </si>
  <si>
    <t>クーン</t>
  </si>
  <si>
    <t>原本証明</t>
  </si>
  <si>
    <t>シート名</t>
  </si>
  <si>
    <t>部数</t>
  </si>
  <si>
    <t>１．借受者（生産者）記入</t>
  </si>
  <si>
    <t>借受団体名</t>
  </si>
  <si>
    <t>住所（〒）</t>
  </si>
  <si>
    <t>電話番号</t>
  </si>
  <si>
    <t>Ｆａｘ番号</t>
  </si>
  <si>
    <t>現状</t>
  </si>
  <si>
    <t>家畜飼養状況</t>
  </si>
  <si>
    <t>乳牛：</t>
  </si>
  <si>
    <t>頭</t>
  </si>
  <si>
    <t>肉牛：</t>
  </si>
  <si>
    <t>飼料畑</t>
  </si>
  <si>
    <t>合計：</t>
  </si>
  <si>
    <t>田：</t>
  </si>
  <si>
    <t>畑：</t>
  </si>
  <si>
    <t>草地：</t>
  </si>
  <si>
    <t>ha</t>
  </si>
  <si>
    <t>畜産排水対策緊急支援事業に係る早急に排水対策が必要な理由（確認書）</t>
  </si>
  <si>
    <t>農協名：</t>
  </si>
  <si>
    <t>農協担当部署：</t>
  </si>
  <si>
    <t>担当者名：</t>
  </si>
  <si>
    <t>　畜産排水対策緊急支援事業の実施にあたり、早急な排水対策が必要な畜産農家について下記のとおり報告します。</t>
  </si>
  <si>
    <t>１．借受者名等</t>
  </si>
  <si>
    <t>２．排水対策が必要な理由</t>
  </si>
  <si>
    <t>対策理由</t>
  </si>
  <si>
    <t>riyu</t>
  </si>
  <si>
    <t/>
  </si>
  <si>
    <t>個人申請</t>
  </si>
  <si>
    <t>畜産排水対策緊急支援事業</t>
  </si>
  <si>
    <t>１．本年度の価格安定制度に加入</t>
  </si>
  <si>
    <t>　平成21年 7月6日付け畜産自給力強化緊急支援事業実施要領の貸付申請に係るこのことについて、下記のとおり報告します。</t>
  </si>
  <si>
    <t>申請月日は７月６日以降の日付でお願いします</t>
  </si>
  <si>
    <t>※集団で申請する場合は、代表者が申請する認定農業者証と同一の名前・住所を明記して下さい。（認定農業者の証書を添付。）</t>
  </si>
  <si>
    <t>キャタピラー</t>
  </si>
  <si>
    <t>※申請する申請者の状況を明記して下さい。（個人又は法人の場合はその状況、集団の場合は、集団全体の合計値。）</t>
  </si>
  <si>
    <t>畜産経営生産性向上支援リースに該当</t>
  </si>
  <si>
    <t>機械区分</t>
  </si>
  <si>
    <t>見積価格（消費税抜き）</t>
  </si>
  <si>
    <t>Q1</t>
  </si>
  <si>
    <t>右上に変な画面がでる？これは消せませんか？</t>
  </si>
  <si>
    <t>A1</t>
  </si>
  <si>
    <t>このプログラムを動作させるために必要な画面です、消すことはできません</t>
  </si>
  <si>
    <t>Q2</t>
  </si>
  <si>
    <t>指定の様式だけ印刷したい</t>
  </si>
  <si>
    <t>A2</t>
  </si>
  <si>
    <t>印刷したいシートを選んで、通常のエクセルの操作で印刷してください</t>
  </si>
  <si>
    <t>Q3</t>
  </si>
  <si>
    <t>A3</t>
  </si>
  <si>
    <t>上手く動かない、動作しない</t>
  </si>
  <si>
    <t>動作環境を確認してください</t>
  </si>
  <si>
    <t>CPU：ペンティアムⅢ以上の環境</t>
  </si>
  <si>
    <t>エクセル：excel2000,2003,2007は動作確認済です</t>
  </si>
  <si>
    <t>エクセルのツール⇒マクロ⇒セキュリティを確認してください（中）か（低）</t>
  </si>
  <si>
    <t>Q4</t>
  </si>
  <si>
    <t>間違ってデータを入れてしまった、削除したい</t>
  </si>
  <si>
    <t>A4</t>
  </si>
  <si>
    <t>このプログラムでは削除はできませんのでそのままお使いください</t>
  </si>
  <si>
    <t>出来れば借受者の名前を「不要」や「削除」と入れていただければ幸いです</t>
  </si>
  <si>
    <t>Q5</t>
  </si>
  <si>
    <t>入力されている内容を確認したい</t>
  </si>
  <si>
    <t>A5</t>
  </si>
  <si>
    <t>右上のリストボックス内に表示されているのが入力されている件数です</t>
  </si>
  <si>
    <t>内容については個別に呼び出しして確認してください</t>
  </si>
  <si>
    <t>Q6</t>
  </si>
  <si>
    <t>機械名がリストにない</t>
  </si>
  <si>
    <t>A6</t>
  </si>
  <si>
    <t>基本的にプルダウンメニューから選択してください</t>
  </si>
  <si>
    <t>例.ジャンボテッダー　⇒　テッダー　等</t>
  </si>
  <si>
    <t>Q7</t>
  </si>
  <si>
    <t>銘柄がリストにない</t>
  </si>
  <si>
    <t>A7</t>
  </si>
  <si>
    <t>どうしても無い場合は手入力になりますが様式２の区分を手書きしてください</t>
  </si>
  <si>
    <t>どうしても無い場合は手入力になります</t>
  </si>
  <si>
    <t>対象機種でない場合がありますので事前に確認してください</t>
  </si>
  <si>
    <t>申請書類作成プログラムＱ＆Ａ</t>
  </si>
  <si>
    <t>ID</t>
  </si>
  <si>
    <t>機械名</t>
  </si>
  <si>
    <t>小売参考価格（消費税抜き）</t>
  </si>
  <si>
    <t>機　械　名</t>
  </si>
  <si>
    <t>銘　　　　柄</t>
  </si>
  <si>
    <t>型　　　　式</t>
  </si>
  <si>
    <t>【申請する機械の詳細】</t>
  </si>
  <si>
    <t>【申請する事業名】</t>
  </si>
  <si>
    <t>【貸付申請者の状況】</t>
  </si>
  <si>
    <t>補助金額（消費税抜き）</t>
  </si>
  <si>
    <t>予備41</t>
  </si>
  <si>
    <t>取得価格（消費税抜き）</t>
  </si>
  <si>
    <t>名　　　称</t>
  </si>
  <si>
    <t>所在地</t>
  </si>
  <si>
    <t>【見積合わせの詳細】</t>
  </si>
  <si>
    <t>参加業者名</t>
  </si>
  <si>
    <t>見積価格</t>
  </si>
  <si>
    <t>※３者見積もりを行った場合のその内容を明記して下さい。</t>
  </si>
  <si>
    <t>【見積合わせを行わない場合の詳細】</t>
  </si>
  <si>
    <t>選定理由</t>
  </si>
  <si>
    <t>情報活用内容</t>
  </si>
  <si>
    <t>提供元と提供情報</t>
  </si>
  <si>
    <t>具体的に活用した情報</t>
  </si>
  <si>
    <t>※３者見積もりを行なわなかった場合のその内容を明記して下さい。</t>
  </si>
  <si>
    <t>※申請に係る機械の詳細は、添付する見積書と同一にして下さい。</t>
  </si>
  <si>
    <t>自主調査の概要</t>
  </si>
  <si>
    <r>
      <t>見積合わせの選定基準　　</t>
    </r>
    <r>
      <rPr>
        <sz val="11"/>
        <color indexed="10"/>
        <rFont val="ＭＳ Ｐゴシック"/>
        <family val="3"/>
      </rPr>
      <t>（記載例あり）</t>
    </r>
  </si>
  <si>
    <t>所見</t>
  </si>
  <si>
    <t>経営状況に係るコメントを必ず記入してください</t>
  </si>
  <si>
    <t>設置場所（保管場所）</t>
  </si>
  <si>
    <t>機械の設置場所を入力してください（住所を郡名から）</t>
  </si>
  <si>
    <t>後継者との関係（長男等）</t>
  </si>
  <si>
    <t>No</t>
  </si>
  <si>
    <t>借受者名_カナ</t>
  </si>
  <si>
    <t>借受者区分</t>
  </si>
  <si>
    <t>借受者名_漢字</t>
  </si>
  <si>
    <t>事業名</t>
  </si>
  <si>
    <t>リース期間</t>
  </si>
  <si>
    <t>機械1_設置場所</t>
  </si>
  <si>
    <t>機械2_設置場所</t>
  </si>
  <si>
    <t>機械3_設置場所</t>
  </si>
  <si>
    <t>機械4_設置場所</t>
  </si>
  <si>
    <t>２．前年度及び本年度の価格安定制度に加入していない</t>
  </si>
  <si>
    <t>４．前年度まで加入していたが、今年度の数量契約は結んでいない</t>
  </si>
  <si>
    <t>借受者区分</t>
  </si>
  <si>
    <t>調査農家の概要</t>
  </si>
  <si>
    <t>調査機械の概要</t>
  </si>
  <si>
    <t>業者との価格交渉経過</t>
  </si>
  <si>
    <t>【機械のリース期間】</t>
  </si>
  <si>
    <t>リース期間</t>
  </si>
  <si>
    <t>年</t>
  </si>
  <si>
    <t>申請月日</t>
  </si>
  <si>
    <t>【配合飼料価格安定制度加入に関する詳細】</t>
  </si>
  <si>
    <t>配合飼料価格安定基金の加入状況</t>
  </si>
  <si>
    <t>（社）全国配合飼料供給安定基金（全農基金）</t>
  </si>
  <si>
    <t>（社）全国畜産配合飼料価格安定基金（畜産基金）</t>
  </si>
  <si>
    <t>（社）全日本配合飼料価格・畜産安定基金（商系基金）</t>
  </si>
  <si>
    <t>前年度</t>
  </si>
  <si>
    <t>本年度</t>
  </si>
  <si>
    <t>※記入基準【１・３・４】を選択した場合は入力して下さい。</t>
  </si>
  <si>
    <t>酪農経営</t>
  </si>
  <si>
    <t>肉用牛経営</t>
  </si>
  <si>
    <t>養豚経営</t>
  </si>
  <si>
    <t>採卵鶏</t>
  </si>
  <si>
    <t>肉用鶏</t>
  </si>
  <si>
    <t>その他</t>
  </si>
  <si>
    <t>繁殖</t>
  </si>
  <si>
    <t>育成</t>
  </si>
  <si>
    <t>肥育</t>
  </si>
  <si>
    <t>様式７－１号</t>
  </si>
  <si>
    <t>様式７－２号</t>
  </si>
  <si>
    <t>提出先と部数</t>
  </si>
  <si>
    <t>ホクレン</t>
  </si>
  <si>
    <t>7-2</t>
  </si>
  <si>
    <t>配合飼料の購入先</t>
  </si>
  <si>
    <t>農業協同組合</t>
  </si>
  <si>
    <t>支所</t>
  </si>
  <si>
    <t>飼料販売代理店</t>
  </si>
  <si>
    <t>飼料株式会社</t>
  </si>
  <si>
    <t>支店</t>
  </si>
  <si>
    <t>農協</t>
  </si>
  <si>
    <t>商系</t>
  </si>
  <si>
    <t>２．借受団体（農協担当者）記入</t>
  </si>
  <si>
    <t>担当者名</t>
  </si>
  <si>
    <t>借受者区分</t>
  </si>
  <si>
    <t>現地納入業者</t>
  </si>
  <si>
    <t>Ｅメールアドレス</t>
  </si>
  <si>
    <t>※個人で申請する場合は、「借受者」欄に個人名を入力して下さい。（認定農業者の証書を添付。）</t>
  </si>
  <si>
    <t>機械2_見積合わせの選定基準</t>
  </si>
  <si>
    <t>機械2_見積合わせ実施年月日</t>
  </si>
  <si>
    <t>機械2_参加業者名1_参加業者名</t>
  </si>
  <si>
    <t>機械2_参加業者名1_見積価格</t>
  </si>
  <si>
    <t>機械2_参加業者名2_参加業者名</t>
  </si>
  <si>
    <t>機械2_参加業者名2_見積価格</t>
  </si>
  <si>
    <t>機械2_参加業者名3_参加業者名</t>
  </si>
  <si>
    <t>機械2_参加業者名3_見積価格</t>
  </si>
  <si>
    <t>機械2_選定理由</t>
  </si>
  <si>
    <t>機械2_情報活用内容_提供元と提供情報</t>
  </si>
  <si>
    <t>機械2_情報活用内容_具体的に活用した情報</t>
  </si>
  <si>
    <t>機械2_自主調査の概要_調査農家の概要</t>
  </si>
  <si>
    <t>機械2_自主調査の概要_調査機械の概要</t>
  </si>
  <si>
    <t>機械2_業者との価格交渉経過</t>
  </si>
  <si>
    <t>機械3_機械区分</t>
  </si>
  <si>
    <t>機械3_機械名</t>
  </si>
  <si>
    <t>機械3_銘柄</t>
  </si>
  <si>
    <t>機械3_形式</t>
  </si>
  <si>
    <t>機械3_小売参考価格</t>
  </si>
  <si>
    <t>機械3_見積価格</t>
  </si>
  <si>
    <t>機械3_現地納入業者_名称</t>
  </si>
  <si>
    <t>機械3_現地納入業者_所在地</t>
  </si>
  <si>
    <t>機械3_現地納入業者_電話番号</t>
  </si>
  <si>
    <t>機械3_カタログ原本証明日</t>
  </si>
  <si>
    <t>予備63</t>
  </si>
  <si>
    <t>*</t>
  </si>
  <si>
    <t>機械3_見積合わせの選定基準</t>
  </si>
  <si>
    <t>機械3_見積合わせ実施年月日</t>
  </si>
  <si>
    <t>機械3_参加業者名1_参加業者名</t>
  </si>
  <si>
    <t>機械3_参加業者名1_見積価格</t>
  </si>
  <si>
    <t>機械3_参加業者名2_参加業者名</t>
  </si>
  <si>
    <t>機械3_参加業者名2_見積価格</t>
  </si>
  <si>
    <t>機械3_参加業者名3_参加業者名</t>
  </si>
  <si>
    <t>機械3_参加業者名3_見積価格</t>
  </si>
  <si>
    <t>機械3_選定理由</t>
  </si>
  <si>
    <t>機械3_情報活用内容_提供元と提供情報</t>
  </si>
  <si>
    <t>機械3_情報活用内容_具体的に活用した情報</t>
  </si>
  <si>
    <t>機械3_自主調査の概要_調査農家の概要</t>
  </si>
  <si>
    <t>機械3_自主調査の概要_調査機械の概要</t>
  </si>
  <si>
    <t>機械3_業者との価格交渉経過</t>
  </si>
  <si>
    <t>機械4_機械区分</t>
  </si>
  <si>
    <t>機械4_機械名</t>
  </si>
  <si>
    <t>機械4_銘柄</t>
  </si>
  <si>
    <t>機械4_形式</t>
  </si>
  <si>
    <t>機械4_小売参考価格</t>
  </si>
  <si>
    <t>機械4_見積価格</t>
  </si>
  <si>
    <t>機械4_現地納入業者_名称</t>
  </si>
  <si>
    <t>機械4_現地納入業者_所在地</t>
  </si>
  <si>
    <t>機械4_現地納入業者_電話番号</t>
  </si>
  <si>
    <t>機械4_カタログ原本証明日</t>
  </si>
  <si>
    <t>予備64</t>
  </si>
  <si>
    <t>機械4_見積合わせの選定基準</t>
  </si>
  <si>
    <t>機械4_見積合わせ実施年月日</t>
  </si>
  <si>
    <t>機械4_参加業者名1_参加業者名</t>
  </si>
  <si>
    <t>機械4_参加業者名1_見積価格</t>
  </si>
  <si>
    <t>機械4_参加業者名2_参加業者名</t>
  </si>
  <si>
    <t>機械4_参加業者名2_見積価格</t>
  </si>
  <si>
    <t>機械4_参加業者名3_参加業者名</t>
  </si>
  <si>
    <t>機械4_参加業者名3_見積価格</t>
  </si>
  <si>
    <t>機械4_選定理由</t>
  </si>
  <si>
    <t>機械4_情報活用内容_提供元と提供情報</t>
  </si>
  <si>
    <t>機械4_情報活用内容_具体的に活用した情報</t>
  </si>
  <si>
    <t>機械4_自主調査の概要_調査農家の概要</t>
  </si>
  <si>
    <t>機械4_自主調査の概要_調査機械の概要</t>
  </si>
  <si>
    <t>機械4_業者との価格交渉経過</t>
  </si>
  <si>
    <t>配合飼料価格安定制度への加入状況</t>
  </si>
  <si>
    <t>加入の意思の有無</t>
  </si>
  <si>
    <t>加入予定月</t>
  </si>
  <si>
    <t>個人経営者_住所</t>
  </si>
  <si>
    <t>個人経営者_氏名</t>
  </si>
  <si>
    <t>法人経営者_住所</t>
  </si>
  <si>
    <t>法人経営者_法人名</t>
  </si>
  <si>
    <t>法人経営者_代表者名</t>
  </si>
  <si>
    <t>全農基金_前年度</t>
  </si>
  <si>
    <t>全農基金_本年度</t>
  </si>
  <si>
    <t>畜産基金_前年度</t>
  </si>
  <si>
    <t>畜産基金_本年度</t>
  </si>
  <si>
    <t>商系基金_前年度</t>
  </si>
  <si>
    <t>現状_家畜飼養状況_ブロイラー</t>
  </si>
  <si>
    <t>集団の構成員</t>
  </si>
  <si>
    <t>管理責任者1</t>
  </si>
  <si>
    <t>氏名1</t>
  </si>
  <si>
    <t>住所1</t>
  </si>
  <si>
    <t>管理責任者2</t>
  </si>
  <si>
    <t>氏名2</t>
  </si>
  <si>
    <t>住所2</t>
  </si>
  <si>
    <t>管理責任者3</t>
  </si>
  <si>
    <t>氏名3</t>
  </si>
  <si>
    <t>住所3</t>
  </si>
  <si>
    <t>管理責任者4</t>
  </si>
  <si>
    <t>氏名4</t>
  </si>
  <si>
    <t>住所4</t>
  </si>
  <si>
    <t>管理責任者5</t>
  </si>
  <si>
    <t>氏名5</t>
  </si>
  <si>
    <t>住所5</t>
  </si>
  <si>
    <t>貸付対象機械の選定について（記録）</t>
  </si>
  <si>
    <t>　私は、畜産自給力強化緊急支援事業に係る貸付対象機械を借り受けるに当たり、下記により当該貸付対象機械を選定しました。</t>
  </si>
  <si>
    <t>管理責任者6</t>
  </si>
  <si>
    <t>氏名6</t>
  </si>
  <si>
    <t>住所6</t>
  </si>
  <si>
    <t>管理責任者7</t>
  </si>
  <si>
    <t>氏名7</t>
  </si>
  <si>
    <t>住所7</t>
  </si>
  <si>
    <t>管理責任者8</t>
  </si>
  <si>
    <t>氏名8</t>
  </si>
  <si>
    <t>住所8</t>
  </si>
  <si>
    <t>管理責任者9</t>
  </si>
  <si>
    <t>氏名9</t>
  </si>
  <si>
    <t>住所9</t>
  </si>
  <si>
    <t>管理責任者10</t>
  </si>
  <si>
    <t>氏名10</t>
  </si>
  <si>
    <t>住所10</t>
  </si>
  <si>
    <t>管理責任者11</t>
  </si>
  <si>
    <t>氏名11</t>
  </si>
  <si>
    <t>住所11</t>
  </si>
  <si>
    <t>管理責任者12</t>
  </si>
  <si>
    <t>氏名12</t>
  </si>
  <si>
    <t>住所12</t>
  </si>
  <si>
    <t>貸付機械の保管場所</t>
  </si>
  <si>
    <t>予備34</t>
  </si>
  <si>
    <t>*</t>
  </si>
  <si>
    <t>複数台数があった場合は２ページ目以降を印刷</t>
  </si>
  <si>
    <t>台数＝ページ数</t>
  </si>
  <si>
    <t>共同利用の場合のみ印刷（記入項目の共同利用に記載の有無）</t>
  </si>
  <si>
    <t>複数台数があった場合は台数分の枚数を印刷</t>
  </si>
  <si>
    <t>台数=枚数</t>
  </si>
  <si>
    <t>複数台数があった場合は５ページ目以降を印刷</t>
  </si>
  <si>
    <t>台数×４＝ページ数</t>
  </si>
  <si>
    <t>3</t>
  </si>
  <si>
    <t>4</t>
  </si>
  <si>
    <t>5</t>
  </si>
  <si>
    <t>7-1</t>
  </si>
  <si>
    <t>※法人で申請する場合は、「借受者」欄に法人名・「代表者名」欄に代表者の名前を入力して下さい。（認定農業者の証書及び定款を添付。）</t>
  </si>
  <si>
    <t>（ﾌﾘｶﾞﾅ）　　　借受者名　　</t>
  </si>
  <si>
    <t>(ﾌﾘｶﾞﾅ）　　　　代表者名</t>
  </si>
  <si>
    <t>組合員の加入時期</t>
  </si>
  <si>
    <t>【借受者調書】</t>
  </si>
  <si>
    <t>年齢</t>
  </si>
  <si>
    <t>後継者</t>
  </si>
  <si>
    <t>労働力</t>
  </si>
  <si>
    <t>（家族</t>
  </si>
  <si>
    <t>・雇用</t>
  </si>
  <si>
    <t>）</t>
  </si>
  <si>
    <t>※農協が借受者に対する「与信審査」を行うための記入項目欄ですので全て入力して下さい。</t>
  </si>
  <si>
    <t>営農上の収支状況</t>
  </si>
  <si>
    <t>売上げ収入（千円）</t>
  </si>
  <si>
    <t>営業収益　(千円）</t>
  </si>
  <si>
    <t>借入金総額（千円）</t>
  </si>
  <si>
    <t>売上げ収入に占める借入金の割合</t>
  </si>
  <si>
    <t>繰越損益　（千円）</t>
  </si>
  <si>
    <t>法人の構成比</t>
  </si>
  <si>
    <t>法人の場合の資本金</t>
  </si>
  <si>
    <r>
      <t>損　　益　　　　</t>
    </r>
    <r>
      <rPr>
        <sz val="9"/>
        <color indexed="56"/>
        <rFont val="ＭＳ Ｐゴシック"/>
        <family val="3"/>
      </rPr>
      <t>　(税引き後）</t>
    </r>
  </si>
  <si>
    <t>現地納入業者に対する与信</t>
  </si>
  <si>
    <t>所見</t>
  </si>
  <si>
    <t>氏名（名称）</t>
  </si>
  <si>
    <t>代表者名</t>
  </si>
  <si>
    <t>①　周辺住民からの苦情の減少</t>
  </si>
  <si>
    <t>②　畜産排水負荷の軽減</t>
  </si>
  <si>
    <t>③　行政等からの指導について対応</t>
  </si>
  <si>
    <t>④　規模拡大等により、将来的に懸念される上記①～③のいずれかの問題について対応</t>
  </si>
  <si>
    <t>⑤　その他、早急に排水対策が必要な場合として自ら設定する目標</t>
  </si>
  <si>
    <t>１．浄化処理に必要な機械</t>
  </si>
  <si>
    <t>２．固液分離に必要な機械</t>
  </si>
  <si>
    <t>３．簡易浄化処理装置</t>
  </si>
  <si>
    <t>ばっき装置</t>
  </si>
  <si>
    <t>膜分離装置</t>
  </si>
  <si>
    <t>攪拌装置</t>
  </si>
  <si>
    <t>浄化処理機械</t>
  </si>
  <si>
    <t>圧縮式固液分離機</t>
  </si>
  <si>
    <t>濾過式固液分離機</t>
  </si>
  <si>
    <t>簡易浄化処理装置</t>
  </si>
  <si>
    <t>畜産自給力強化緊急支援事業貸付に係る経営状況報告書</t>
  </si>
  <si>
    <t>畜産自給力強化緊急支援事業に係る見積合わせ等について（結果報告）</t>
  </si>
  <si>
    <t>*</t>
  </si>
  <si>
    <t>２．見積合わせの選定基準</t>
  </si>
  <si>
    <t>３．見積合わせ等の実施状況</t>
  </si>
  <si>
    <t>)</t>
  </si>
  <si>
    <t>現地納入業者に対する与信</t>
  </si>
  <si>
    <t>代表理事会長　佐藤俊彰　殿</t>
  </si>
  <si>
    <t>　また、本申告に虚偽があった場合については、事業参加の取り消し等の見直しを受けることを承諾します。</t>
  </si>
  <si>
    <t>＊２．３．４を選択した場合は加入の意思の有無</t>
  </si>
  <si>
    <t>＊２．３．４の場合加入予定月</t>
  </si>
  <si>
    <t>加入の意思の有無</t>
  </si>
  <si>
    <t>加入予定月</t>
  </si>
  <si>
    <t>機械1_カタログ原本証明日</t>
  </si>
  <si>
    <t>機械1_見積合わせ実施年月日</t>
  </si>
  <si>
    <t>機械2_カタログ原本証明日</t>
  </si>
  <si>
    <t>機械2_見積合わせ実施年月日</t>
  </si>
  <si>
    <t>機械3_カタログ原本証明日</t>
  </si>
  <si>
    <t>機械3_見積合わせ実施年月日</t>
  </si>
  <si>
    <t>機械4_カタログ原本証明日</t>
  </si>
  <si>
    <t>機械4_見積合わせ実施年月日</t>
  </si>
  <si>
    <t>事業名：</t>
  </si>
  <si>
    <t>（４）現地納入業者</t>
  </si>
  <si>
    <t>加入意思</t>
  </si>
  <si>
    <t>加入予定</t>
  </si>
  <si>
    <t>①</t>
  </si>
  <si>
    <t>毎年、各項目について、過去一年間の実行状況を点検します。</t>
  </si>
  <si>
    <t>②</t>
  </si>
  <si>
    <t>点検は、農業経営全体の状況について行います。(例えば、家畜ごとに点検する必要はありません。)</t>
  </si>
  <si>
    <t>③</t>
  </si>
  <si>
    <t>点検は、次ページの「取組(例)」を参考に自らが行い、実行できていると判断する場合には、チェック</t>
  </si>
  <si>
    <t>欄にレ印か○印を付します。</t>
  </si>
  <si>
    <t>④</t>
  </si>
  <si>
    <t>該当がない項目や実行できない項目がある場合には、チェック欄に印を付けず、その項目ごとに下欄</t>
  </si>
  <si>
    <t>にその理由、改善の予定などを記入します。</t>
  </si>
  <si>
    <t>⑤</t>
  </si>
  <si>
    <t>作成した点検シートは、次回の点検まで保存します。</t>
  </si>
  <si>
    <t>Q&amp;A</t>
  </si>
  <si>
    <t>事業実施主体等が本事業の参加に係る上記内容を関係機関に提供することについて同意いたします。</t>
  </si>
  <si>
    <t>（</t>
  </si>
  <si>
    <t>⇒</t>
  </si>
  <si>
    <t>基金の種類</t>
  </si>
  <si>
    <t>前年度</t>
  </si>
  <si>
    <t>本年度</t>
  </si>
  <si>
    <t>（社）全国配合飼料供給安定基金（全農基金）</t>
  </si>
  <si>
    <t>（社）全国畜産配合飼料価格安定基金（畜産基金）</t>
  </si>
  <si>
    <t>（社）全日本配合飼料価格・畜産安定基金（商系基金）</t>
  </si>
  <si>
    <t>経営形態</t>
  </si>
  <si>
    <t>酪農経営</t>
  </si>
  <si>
    <t>肉用牛経営</t>
  </si>
  <si>
    <t>養豚経営</t>
  </si>
  <si>
    <t>採卵鶏</t>
  </si>
  <si>
    <t>肉用鶏</t>
  </si>
  <si>
    <t>その他</t>
  </si>
  <si>
    <t>繁殖</t>
  </si>
  <si>
    <t>育成</t>
  </si>
  <si>
    <t>肥育</t>
  </si>
  <si>
    <t>配合飼料の購入先</t>
  </si>
  <si>
    <t>農協</t>
  </si>
  <si>
    <t>農業協同組合</t>
  </si>
  <si>
    <t>支所</t>
  </si>
  <si>
    <t>商系</t>
  </si>
  <si>
    <t>飼料販売代理店</t>
  </si>
  <si>
    <t>支店</t>
  </si>
  <si>
    <t>飼料株式会社</t>
  </si>
  <si>
    <t>　</t>
  </si>
  <si>
    <t>電話番号</t>
  </si>
  <si>
    <t>　なお、事業実施主体等が配合飼料価格安定制度における基本契約等の締結状況を照会するに当たり、本事業の参加に関する以下の情報を関係機関に提供することについて同意します。</t>
  </si>
  <si>
    <t>申請者</t>
  </si>
  <si>
    <t>①畜産経営者名簿等（申請者と同じ場合は記入不要）</t>
  </si>
  <si>
    <t>②配合飼料価格安定基金の加入状況（該当欄に○を記入してください）</t>
  </si>
  <si>
    <t>（個人の場合）</t>
  </si>
  <si>
    <t>氏名（法人名）</t>
  </si>
  <si>
    <t>③経営形態（該当欄に○を記入してください）</t>
  </si>
  <si>
    <t>④配合飼料の購入先</t>
  </si>
  <si>
    <t>事業実施主体等が本事業の参加に係る上記内容を関係機関に提供することについて同意いたします。</t>
  </si>
  <si>
    <t xml:space="preserve"> 当該機種については他社に取扱がないため下記販社に決定いたしました</t>
  </si>
  <si>
    <t>（２）貸付対象機械名等</t>
  </si>
  <si>
    <t>（１）情報提供元と提供情報</t>
  </si>
  <si>
    <t>（２）具体的に活用した情報</t>
  </si>
  <si>
    <t>（３）自主調査農家の概要</t>
  </si>
  <si>
    <t>（４）調査機械の概要</t>
  </si>
  <si>
    <t>４．販売業者との価格交渉経過</t>
  </si>
  <si>
    <t>上記の情報については貸付申請者より事業実施主体等が本事業の参加に係る上記内容を関係機関に提供することについて同意を得ております。</t>
  </si>
  <si>
    <t>畜産経営強化緊急支援事業</t>
  </si>
  <si>
    <t>借受団体_担当者名</t>
  </si>
  <si>
    <t>借受団体_電話番号</t>
  </si>
  <si>
    <t>機械1_機械区分</t>
  </si>
  <si>
    <t>機械1_機械名</t>
  </si>
  <si>
    <t>機械1_銘柄</t>
  </si>
  <si>
    <t>機械1_形式</t>
  </si>
  <si>
    <t>機械1_小売参考価格</t>
  </si>
  <si>
    <t>機械1_見積価格</t>
  </si>
  <si>
    <t>機械1_現地納入業者_名称</t>
  </si>
  <si>
    <t>機械1_現地納入業者_所在地</t>
  </si>
  <si>
    <t>機械1_現地納入業者_電話番号</t>
  </si>
  <si>
    <t>機械1_見積合わせの選定基準</t>
  </si>
  <si>
    <t>機械1_参加業者名1_参加業者名</t>
  </si>
  <si>
    <t>機械1_参加業者名1_見積価格</t>
  </si>
  <si>
    <t>機械1_参加業者名2_参加業者名</t>
  </si>
  <si>
    <t>機械1_参加業者名2_見積価格</t>
  </si>
  <si>
    <t>機械1_参加業者名3_参加業者名</t>
  </si>
  <si>
    <t>機械1_参加業者名3_見積価格</t>
  </si>
  <si>
    <t>機械1_選定理由</t>
  </si>
  <si>
    <t>２．借受希望機械</t>
  </si>
  <si>
    <t>（３）貸付申請に係る貸付対象機械及び価格（消費税別）</t>
  </si>
  <si>
    <t>事業の成果目標</t>
  </si>
  <si>
    <t>２．貸付対象機械の選定条件</t>
  </si>
  <si>
    <t>２．貸付対象機械の選定理由</t>
  </si>
  <si>
    <t>３．貸付対象機械の選定に使用した提供情報、選定のために行った自主調査等の概要</t>
  </si>
  <si>
    <t>機械1_情報活用内容_提供元と提供情報</t>
  </si>
  <si>
    <t>機械1_情報活用内容_具体的に活用した情報</t>
  </si>
  <si>
    <t>機械1_自主調査の概要_調査農家の概要</t>
  </si>
  <si>
    <t>機械1_自主調査の概要_調査機械の概要</t>
  </si>
  <si>
    <t>機械1_業者との価格交渉経過</t>
  </si>
  <si>
    <t>機械2_機械区分</t>
  </si>
  <si>
    <t>機械2_機械名</t>
  </si>
  <si>
    <t>機械2_銘柄</t>
  </si>
  <si>
    <t>機械2_形式</t>
  </si>
  <si>
    <t>機械2_小売参考価格</t>
  </si>
  <si>
    <t>機械2_見積価格</t>
  </si>
  <si>
    <t>機械2_現地納入業者_名称</t>
  </si>
  <si>
    <t>機械2_現地納入業者_所在地</t>
  </si>
  <si>
    <t>機械2_現地納入業者_電話番号</t>
  </si>
  <si>
    <t>機械2_見積合わせの選定基準</t>
  </si>
  <si>
    <t>機械2_参加業者名1_参加業者名</t>
  </si>
  <si>
    <t>機械2_参加業者名1_見積価格</t>
  </si>
  <si>
    <t>機械2_参加業者名2_参加業者名</t>
  </si>
  <si>
    <t>機械2_参加業者名2_見積価格</t>
  </si>
  <si>
    <t>機械2_参加業者名3_参加業者名</t>
  </si>
  <si>
    <t>機械2_参加業者名3_見積価格</t>
  </si>
  <si>
    <t>機械2_選定理由</t>
  </si>
  <si>
    <t>機械2_情報活用内容_提供元と提供情報</t>
  </si>
  <si>
    <t>機械2_情報活用内容_具体的に活用した情報</t>
  </si>
  <si>
    <t>機械2_自主調査の概要_調査農家の概要</t>
  </si>
  <si>
    <t>機械2_自主調査の概要_調査機械の概要</t>
  </si>
  <si>
    <t>8</t>
  </si>
  <si>
    <t>現状_家畜飼養状況_肉豚</t>
  </si>
  <si>
    <t>現状_家畜飼養状況_採卵鶏</t>
  </si>
  <si>
    <t>現状_飼料畑_田借地</t>
  </si>
  <si>
    <t>現状_飼料畑_畑借地</t>
  </si>
  <si>
    <t>現状_飼料畑_草地借地</t>
  </si>
  <si>
    <t>機械1_機械を必要とする理由</t>
  </si>
  <si>
    <t>機械1_成果目標1</t>
  </si>
  <si>
    <t>機械1_成果目標2</t>
  </si>
  <si>
    <t>機械2_機械を必要とする理由</t>
  </si>
  <si>
    <t>機械2_成果目標1</t>
  </si>
  <si>
    <t>機械2_成果目標2</t>
  </si>
  <si>
    <t>機械3_機械を必要とする理由</t>
  </si>
  <si>
    <t>機械3_成果目標1</t>
  </si>
  <si>
    <t>機械3_成果目標2</t>
  </si>
  <si>
    <t>機械4_機械を必要とする理由</t>
  </si>
  <si>
    <t>機械4_成果目標1</t>
  </si>
  <si>
    <t>機械4_成果目標2</t>
  </si>
  <si>
    <t>注）借受希望機械の区分欄は、実施要領別表１に定められた分類①生産性向上に資する機械、②労働力軽減に資する機械、③飼料自給率向上に資する機械を記載して下さい。</t>
  </si>
  <si>
    <t>(電話）</t>
  </si>
  <si>
    <t>1　家畜排せつ物法の遵守</t>
  </si>
  <si>
    <t>　家畜排せつ物の管理の適正化による大気、水等の環境保全や、家畜排せつ物の利用の促進による環境型社会形成への貢献を通じ、健全な畜産業の発展に資することを目的として、家畜排せつ物の管理の適正化及び利用の促進に関する法律(家畜排せつ物法)を遵守する。</t>
  </si>
  <si>
    <t>2　悪臭・害虫の発生を防止・低減する取組の励行</t>
  </si>
  <si>
    <t>3　家畜排せつ物の利活用の促進</t>
  </si>
  <si>
    <t>4　環境関連法令への適切な対応</t>
  </si>
  <si>
    <t>5　エネルギーの節減</t>
  </si>
  <si>
    <t>6　新たな知見・情報の収集</t>
  </si>
  <si>
    <t>(</t>
  </si>
  <si>
    <t>（借受申請者と同一名とすること。）</t>
  </si>
  <si>
    <t>様式５号</t>
  </si>
  <si>
    <t>（フリガナ）</t>
  </si>
  <si>
    <t>（フリガナ）</t>
  </si>
  <si>
    <t>様式６－１号</t>
  </si>
  <si>
    <t>上記の情報については貸付申請者より事業実施主体等が本事業の参加に係る上記内容を関係機関に提供することについて同意を得ております。</t>
  </si>
  <si>
    <t>様式６－２号</t>
  </si>
  <si>
    <t xml:space="preserve">  </t>
  </si>
  <si>
    <t>様式８号</t>
  </si>
  <si>
    <t>－</t>
  </si>
  <si>
    <t>－</t>
  </si>
  <si>
    <t>6-1</t>
  </si>
  <si>
    <t>6-2</t>
  </si>
  <si>
    <t>印</t>
  </si>
  <si>
    <t>機械2_業者との価格交渉経過</t>
  </si>
  <si>
    <t>機械3_機械区分</t>
  </si>
  <si>
    <t>機械3_機械名</t>
  </si>
  <si>
    <t>機械3_銘柄</t>
  </si>
  <si>
    <t>機械3_形式</t>
  </si>
  <si>
    <t>機械3_小売参考価格</t>
  </si>
  <si>
    <t>機械3_見積価格</t>
  </si>
  <si>
    <t>機械3_現地納入業者_名称</t>
  </si>
  <si>
    <t>機械3_現地納入業者_所在地</t>
  </si>
  <si>
    <t>機械3_現地納入業者_電話番号</t>
  </si>
  <si>
    <t>機械3_見積合わせの選定基準</t>
  </si>
  <si>
    <t>機械3_参加業者名1_参加業者名</t>
  </si>
  <si>
    <t>機械3_参加業者名1_見積価格</t>
  </si>
  <si>
    <t>機械3_参加業者名2_参加業者名</t>
  </si>
  <si>
    <t>機械3_参加業者名2_見積価格</t>
  </si>
  <si>
    <t>機械3_参加業者名3_参加業者名</t>
  </si>
  <si>
    <t>機械3_参加業者名3_見積価格</t>
  </si>
  <si>
    <t>機械3_選定理由</t>
  </si>
  <si>
    <t>機械3_情報活用内容_提供元と提供情報</t>
  </si>
  <si>
    <t>機械3_情報活用内容_具体的に活用した情報</t>
  </si>
  <si>
    <t>機械3_自主調査の概要_調査農家の概要</t>
  </si>
  <si>
    <t>機械3_自主調査の概要_調査機械の概要</t>
  </si>
  <si>
    <t>機械3_業者との価格交渉経過</t>
  </si>
  <si>
    <t>機械4_機械区分</t>
  </si>
  <si>
    <t>機械4_機械名</t>
  </si>
  <si>
    <t>機械4_銘柄</t>
  </si>
  <si>
    <t>機械4_形式</t>
  </si>
  <si>
    <t>開始ページ</t>
  </si>
  <si>
    <t>終了ページ</t>
  </si>
  <si>
    <t>機械台数</t>
  </si>
  <si>
    <t>機械4_小売参考価格</t>
  </si>
  <si>
    <t>機械4_見積価格</t>
  </si>
  <si>
    <t>機械4_現地納入業者_名称</t>
  </si>
  <si>
    <t>機械4_現地納入業者_所在地</t>
  </si>
  <si>
    <t>機械4_現地納入業者_電話番号</t>
  </si>
  <si>
    <t>機械4_見積合わせの選定基準</t>
  </si>
  <si>
    <t>機械4_参加業者名1_参加業者名</t>
  </si>
  <si>
    <t>機械4_参加業者名1_見積価格</t>
  </si>
  <si>
    <t>機械4_参加業者名2_参加業者名</t>
  </si>
  <si>
    <t>機械4_参加業者名2_見積価格</t>
  </si>
  <si>
    <t>機械4_参加業者名3_参加業者名</t>
  </si>
  <si>
    <t>機械4_参加業者名3_見積価格</t>
  </si>
  <si>
    <t>機械4_選定理由</t>
  </si>
  <si>
    <t>機械4_情報活用内容_提供元と提供情報</t>
  </si>
  <si>
    <t>機械4_情報活用内容_具体的に活用した情報</t>
  </si>
  <si>
    <t>機械4_自主調査の概要_調査農家の概要</t>
  </si>
  <si>
    <t>機械4_自主調査の概要_調査機械の概要</t>
  </si>
  <si>
    <t>機械4_業者との価格交渉経過</t>
  </si>
  <si>
    <t>借受者区分</t>
  </si>
  <si>
    <t>配合飼料価格安定制度への加入状況</t>
  </si>
  <si>
    <t>法人経営者_住所</t>
  </si>
  <si>
    <t>法人経営者_法人名</t>
  </si>
  <si>
    <t>法人経営者_代表者名</t>
  </si>
  <si>
    <t>全農基金_前年度</t>
  </si>
  <si>
    <t>全農基金_本年度</t>
  </si>
  <si>
    <t>畜産基金_前年度</t>
  </si>
  <si>
    <t>商系基金_本年度</t>
  </si>
  <si>
    <t>商系基金_前年度</t>
  </si>
  <si>
    <t>畜産基金_本年度</t>
  </si>
  <si>
    <t>借受団体_代表者区分</t>
  </si>
  <si>
    <t>借受団体_代表者名</t>
  </si>
  <si>
    <t>借受団体_農協担当部署</t>
  </si>
  <si>
    <t>借受団体_部署電話</t>
  </si>
  <si>
    <t>管理責任者1</t>
  </si>
  <si>
    <t>氏名1</t>
  </si>
  <si>
    <t>住所1</t>
  </si>
  <si>
    <t>管理責任者2</t>
  </si>
  <si>
    <t>氏名2</t>
  </si>
  <si>
    <t>住所2</t>
  </si>
  <si>
    <t>管理責任者3</t>
  </si>
  <si>
    <t>氏名3</t>
  </si>
  <si>
    <t>住所3</t>
  </si>
  <si>
    <t>管理責任者4</t>
  </si>
  <si>
    <t>氏名4</t>
  </si>
  <si>
    <t>住所4</t>
  </si>
  <si>
    <t>管理責任者5</t>
  </si>
  <si>
    <t>氏名5</t>
  </si>
  <si>
    <t>住所5</t>
  </si>
  <si>
    <t>管理責任者6</t>
  </si>
  <si>
    <t>氏名6</t>
  </si>
  <si>
    <t>住所6</t>
  </si>
  <si>
    <t>管理責任者7</t>
  </si>
  <si>
    <t>氏名7</t>
  </si>
  <si>
    <t>住所7</t>
  </si>
  <si>
    <t>管理責任者8</t>
  </si>
  <si>
    <t>氏名8</t>
  </si>
  <si>
    <t>住所8</t>
  </si>
  <si>
    <t>管理責任者9</t>
  </si>
  <si>
    <t>氏名9</t>
  </si>
  <si>
    <t>住所9</t>
  </si>
  <si>
    <t>管理責任者10</t>
  </si>
  <si>
    <t>氏名10</t>
  </si>
  <si>
    <t>住所10</t>
  </si>
  <si>
    <t>管理責任者11</t>
  </si>
  <si>
    <t>氏名11</t>
  </si>
  <si>
    <t>住所11</t>
  </si>
  <si>
    <t>管理責任者12</t>
  </si>
  <si>
    <t>氏名12</t>
  </si>
  <si>
    <t>住所12</t>
  </si>
  <si>
    <t>集団の構成員</t>
  </si>
  <si>
    <t>貸付機械の保管場所</t>
  </si>
  <si>
    <t>予備00</t>
  </si>
  <si>
    <t>No</t>
  </si>
  <si>
    <t>借受者名_カナ</t>
  </si>
  <si>
    <t>借受者名_漢字</t>
  </si>
  <si>
    <t>代表者名_カナ</t>
  </si>
  <si>
    <t>代表者名_漢字</t>
  </si>
  <si>
    <t>Fax番号</t>
  </si>
  <si>
    <t>住所_郵便番号</t>
  </si>
  <si>
    <t>住所_住所</t>
  </si>
  <si>
    <t>現状_家畜飼養状況_乳牛</t>
  </si>
  <si>
    <t>現状_家畜飼養状況_肉牛</t>
  </si>
  <si>
    <t>現状_飼料畑_田</t>
  </si>
  <si>
    <t>現状_飼料畑_畑</t>
  </si>
  <si>
    <t>現状_飼料畑_草地</t>
  </si>
  <si>
    <t>畜産経営生産性向上支援リースに該当</t>
  </si>
  <si>
    <t>リース期間</t>
  </si>
  <si>
    <t>申請月日</t>
  </si>
  <si>
    <t>個人経営者_住所</t>
  </si>
  <si>
    <t>個人経営者_氏名</t>
  </si>
  <si>
    <t>経営形態_酪農経営</t>
  </si>
  <si>
    <t>経営形態_肉用牛経営_繁殖</t>
  </si>
  <si>
    <t>経営形態_肉用牛経営_育成</t>
  </si>
  <si>
    <t>経営形態_肉用牛経営_肥育</t>
  </si>
  <si>
    <t>経営形態_養豚経営</t>
  </si>
  <si>
    <t>経営形態_採卵鶏</t>
  </si>
  <si>
    <t>経営形態_肉用鶏</t>
  </si>
  <si>
    <t>経営形態_その他</t>
  </si>
  <si>
    <t>配合飼料の購入先_農協</t>
  </si>
  <si>
    <t>配合飼料の購入先_農業協同組合_支店</t>
  </si>
  <si>
    <t>配合飼料の購入先_商系1</t>
  </si>
  <si>
    <t>配合飼料の購入先_飼料販売代理店_支店</t>
  </si>
  <si>
    <t>配合飼料の購入先_商系2</t>
  </si>
  <si>
    <t>配合飼料の購入先_飼料株式会社_支店</t>
  </si>
  <si>
    <t>配合飼料の購入先_商系3</t>
  </si>
  <si>
    <t>借受団体_団体名</t>
  </si>
  <si>
    <t>借受団体_郵便番号</t>
  </si>
  <si>
    <t>借受団体_住所</t>
  </si>
  <si>
    <t>借受団体_Ｅメールアドレス</t>
  </si>
  <si>
    <t>組合員の加入時期</t>
  </si>
  <si>
    <t>年齢</t>
  </si>
  <si>
    <t>後継者</t>
  </si>
  <si>
    <t>後継者との関係</t>
  </si>
  <si>
    <t>労働力_家族</t>
  </si>
  <si>
    <t>労働力_雇用</t>
  </si>
  <si>
    <t>営農上の収支状況_売上収入</t>
  </si>
  <si>
    <t>営農上の収支状況_営業収益</t>
  </si>
  <si>
    <t>営農上の収支状況_損益</t>
  </si>
  <si>
    <t>営農上の収支状況_借入金総額</t>
  </si>
  <si>
    <t>営農上の収支状況_売上げ収入に占める借入金の割合</t>
  </si>
  <si>
    <t>営農上の収支状況_繰越損益</t>
  </si>
  <si>
    <t>営農上の収支状況_法人の場合の資本金</t>
  </si>
  <si>
    <t>営農上の収支状況_法人の構成比</t>
  </si>
  <si>
    <t>営農上の収支状況_所見</t>
  </si>
  <si>
    <t>現地納入業者に対する与信</t>
  </si>
  <si>
    <t>所見</t>
  </si>
  <si>
    <t>予備34</t>
  </si>
  <si>
    <t>個人経営者</t>
  </si>
  <si>
    <t>法人経営者</t>
  </si>
  <si>
    <t>法人名：</t>
  </si>
  <si>
    <t>畜産経営者名簿</t>
  </si>
  <si>
    <t>ID</t>
  </si>
  <si>
    <t>機械区分</t>
  </si>
  <si>
    <t>機械区分</t>
  </si>
  <si>
    <t>ID</t>
  </si>
  <si>
    <t>Ｇ＆Ｓ社</t>
  </si>
  <si>
    <t>ＪＦ</t>
  </si>
  <si>
    <t>ＳＰＭ</t>
  </si>
  <si>
    <t>３．本年度の数量契約の締結を行う意思がある</t>
  </si>
  <si>
    <t>アグリセム</t>
  </si>
  <si>
    <t>アコード</t>
  </si>
  <si>
    <t>アマゾーネ</t>
  </si>
  <si>
    <t>インター</t>
  </si>
  <si>
    <t>ウェルガー</t>
  </si>
  <si>
    <t>エーデーシー</t>
  </si>
  <si>
    <t>オーバーラム</t>
  </si>
  <si>
    <t>オリオン</t>
  </si>
  <si>
    <t>ガスパルド</t>
  </si>
  <si>
    <t>カトー</t>
  </si>
  <si>
    <t>カワサキ</t>
  </si>
  <si>
    <t>キンズイ</t>
  </si>
  <si>
    <t>グッテラー</t>
  </si>
  <si>
    <t>クバナランド</t>
  </si>
  <si>
    <t>クボタ</t>
  </si>
  <si>
    <t>クラース</t>
  </si>
  <si>
    <t>クローネ</t>
  </si>
  <si>
    <t>ケース</t>
  </si>
  <si>
    <t>コーンズエージー</t>
  </si>
  <si>
    <t>コバシ</t>
  </si>
  <si>
    <t>コングスキルド</t>
  </si>
  <si>
    <t>サムソン</t>
  </si>
  <si>
    <t>ジョンディア</t>
  </si>
  <si>
    <t>シルキー</t>
  </si>
  <si>
    <t>スガノ</t>
  </si>
  <si>
    <t>セリー</t>
  </si>
  <si>
    <t>ターラップ</t>
  </si>
  <si>
    <t>タバタ</t>
  </si>
  <si>
    <t>ダルボ</t>
  </si>
  <si>
    <t>チューリップ</t>
  </si>
  <si>
    <t>ティーグル社</t>
  </si>
  <si>
    <t>デラバル</t>
  </si>
  <si>
    <t>トメダ</t>
  </si>
  <si>
    <t>トヨタ</t>
  </si>
  <si>
    <t>トリマ</t>
  </si>
  <si>
    <t>ドンディ</t>
  </si>
  <si>
    <t>ナイト</t>
  </si>
  <si>
    <t>ニプロ</t>
  </si>
  <si>
    <t>ニューホランド</t>
  </si>
  <si>
    <t>ニューランド</t>
  </si>
  <si>
    <t>ハーゲドン</t>
  </si>
  <si>
    <t>ハーバマット</t>
  </si>
  <si>
    <t>バリアント</t>
  </si>
  <si>
    <t>バルザー</t>
  </si>
  <si>
    <t>ヒーバ</t>
  </si>
  <si>
    <t>ピュアライン</t>
  </si>
  <si>
    <t>フール</t>
  </si>
  <si>
    <t>フェラー</t>
  </si>
  <si>
    <t>フェラボリー</t>
  </si>
  <si>
    <t>ブリリオン</t>
  </si>
  <si>
    <t>ペゴラーロ</t>
  </si>
  <si>
    <t>ポッティンガー</t>
  </si>
  <si>
    <t>マスキオ</t>
  </si>
  <si>
    <t>モノセム</t>
  </si>
  <si>
    <t>ヤンマー</t>
  </si>
  <si>
    <t>ヨスキン</t>
  </si>
  <si>
    <t>ラウチ</t>
  </si>
  <si>
    <t>リリー</t>
  </si>
  <si>
    <t>レムケン</t>
  </si>
  <si>
    <t>ロータス</t>
  </si>
  <si>
    <t>ロールクリエイト</t>
  </si>
  <si>
    <t>三陽</t>
  </si>
  <si>
    <t>渋谷鉄工所</t>
  </si>
  <si>
    <t>松山</t>
  </si>
  <si>
    <t>石村鉄工</t>
  </si>
  <si>
    <t>土谷特殊農機具製作所</t>
  </si>
  <si>
    <t>東洋農機</t>
  </si>
  <si>
    <t>道央</t>
  </si>
  <si>
    <t>日立</t>
  </si>
  <si>
    <t>個人申請</t>
  </si>
  <si>
    <t>法人申請</t>
  </si>
  <si>
    <t>集団申請</t>
  </si>
  <si>
    <t>借受者区分</t>
  </si>
  <si>
    <t>事業名</t>
  </si>
  <si>
    <t>１．本年度の価格安定制度に加入</t>
  </si>
  <si>
    <t>２．前年度及び本年度の価格安定制度に加入していない。</t>
  </si>
  <si>
    <t>３．本年殿数量契約の締結を行う意思がある</t>
  </si>
  <si>
    <t>４．前年度まで加入していたが、今年度の数量契約は結んでいない。</t>
  </si>
  <si>
    <r>
      <t>配合飼料価格安定制度への加入状況を申告願います。</t>
    </r>
    <r>
      <rPr>
        <b/>
        <sz val="11"/>
        <color indexed="60"/>
        <rFont val="ＭＳ Ｐゴシック"/>
        <family val="3"/>
      </rPr>
      <t>＊下段の４つから選んでください</t>
    </r>
  </si>
  <si>
    <t>見積合わせ実施年月日</t>
  </si>
  <si>
    <t>配合飼料加入状況</t>
  </si>
  <si>
    <t>代表者区分</t>
  </si>
  <si>
    <t>代表者名</t>
  </si>
  <si>
    <t>農協担当部署</t>
  </si>
  <si>
    <t>部署電話</t>
  </si>
  <si>
    <t>業者名１</t>
  </si>
  <si>
    <t>業者名２</t>
  </si>
  <si>
    <t>業者名３</t>
  </si>
  <si>
    <t>＊共同利用の場合</t>
  </si>
  <si>
    <t>*共同利用の場合のみ入力してください</t>
  </si>
  <si>
    <t>年齢</t>
  </si>
  <si>
    <t>問題あり</t>
  </si>
  <si>
    <t>問題なし</t>
  </si>
  <si>
    <t>現在の配合飼料価格安定制度の加入状況</t>
  </si>
  <si>
    <t>該当</t>
  </si>
  <si>
    <t>氏名又は法人名</t>
  </si>
  <si>
    <t>代表者名</t>
  </si>
  <si>
    <t>配合飼料価格安定制度に係る自己申告（該当欄に○を記入してください）</t>
  </si>
  <si>
    <r>
      <t>経営形態</t>
    </r>
    <r>
      <rPr>
        <sz val="11"/>
        <color indexed="60"/>
        <rFont val="ＭＳ Ｐゴシック"/>
        <family val="3"/>
      </rPr>
      <t>(該当に○）</t>
    </r>
  </si>
  <si>
    <t>カタログ原本証明日</t>
  </si>
  <si>
    <t>殿</t>
  </si>
  <si>
    <t>住所</t>
  </si>
  <si>
    <t>氏名</t>
  </si>
  <si>
    <t>（借受申請者）</t>
  </si>
  <si>
    <t>印</t>
  </si>
  <si>
    <t>記</t>
  </si>
  <si>
    <t>乳牛：</t>
  </si>
  <si>
    <t>頭</t>
  </si>
  <si>
    <t>見積価格</t>
  </si>
  <si>
    <t>千円</t>
  </si>
  <si>
    <t>銘柄</t>
  </si>
  <si>
    <t>型式</t>
  </si>
  <si>
    <t>受託団体</t>
  </si>
  <si>
    <t>（電話）</t>
  </si>
  <si>
    <t>期間</t>
  </si>
  <si>
    <t>環境と調和のとれた農業生産活動規範　点検シート（家畜の飼養・生産）</t>
  </si>
  <si>
    <t>【点検の方法】</t>
  </si>
  <si>
    <t>チェック欄</t>
  </si>
  <si>
    <t>点検日</t>
  </si>
  <si>
    <t>点検者</t>
  </si>
  <si>
    <t>【該当がない項目、実行できない項目がある場合等の理由、改善の予定など（記入欄）】</t>
  </si>
  <si>
    <t>機械名</t>
  </si>
  <si>
    <t>人）</t>
  </si>
  <si>
    <t>管理責任者</t>
  </si>
  <si>
    <t>第3</t>
  </si>
  <si>
    <t>第1</t>
  </si>
  <si>
    <t>貸付機械の内訳</t>
  </si>
  <si>
    <t>第2</t>
  </si>
  <si>
    <t>集団の構成員</t>
  </si>
  <si>
    <t>貸付機械の保管場所</t>
  </si>
  <si>
    <t>住所：</t>
  </si>
  <si>
    <t>第4</t>
  </si>
  <si>
    <t>第5</t>
  </si>
  <si>
    <t>第6</t>
  </si>
  <si>
    <t>第7</t>
  </si>
  <si>
    <t>第8</t>
  </si>
  <si>
    <t>申請代表者</t>
  </si>
  <si>
    <t>末端借受者</t>
  </si>
  <si>
    <t>代表者名_カナ</t>
  </si>
  <si>
    <t>代表者名_漢字</t>
  </si>
  <si>
    <t>Fax番号</t>
  </si>
  <si>
    <t>住所_郵便番号</t>
  </si>
  <si>
    <t>住所_住所</t>
  </si>
  <si>
    <t>現状_家畜飼養状況_乳牛</t>
  </si>
  <si>
    <t>現状_家畜飼養状況_肉牛</t>
  </si>
  <si>
    <t>現状_飼料畑_田</t>
  </si>
  <si>
    <t>現状_飼料畑_畑</t>
  </si>
  <si>
    <t>現状_飼料畑_草地</t>
  </si>
  <si>
    <t>畜産経営生産性向上支援リースに該当</t>
  </si>
  <si>
    <t>申請月日</t>
  </si>
  <si>
    <t>予備00</t>
  </si>
  <si>
    <t>機械1_機械区分</t>
  </si>
  <si>
    <t>機械1_機械名</t>
  </si>
  <si>
    <t>機械1_銘柄</t>
  </si>
  <si>
    <t>機械1_形式</t>
  </si>
  <si>
    <t>機械1_小売参考価格</t>
  </si>
  <si>
    <t>機械1_見積価格</t>
  </si>
  <si>
    <t>機械1_現地納入業者_名称</t>
  </si>
  <si>
    <t>機械1_現地納入業者_所在地</t>
  </si>
  <si>
    <t>機械1_現地納入業者_電話番号</t>
  </si>
  <si>
    <t>機械1_カタログ原本証明日</t>
  </si>
  <si>
    <t>機械1_見積合わせの選定基準</t>
  </si>
  <si>
    <t>機械1_見積合わせ実施年月日</t>
  </si>
  <si>
    <t>機械1_参加業者名1_参加業者名</t>
  </si>
  <si>
    <t>機械1_参加業者名1_見積価格</t>
  </si>
  <si>
    <t>機械1_参加業者名2_参加業者名</t>
  </si>
  <si>
    <t>機械1_参加業者名2_見積価格</t>
  </si>
  <si>
    <t>機械1_参加業者名3_参加業者名</t>
  </si>
  <si>
    <t>機械1_参加業者名3_見積価格</t>
  </si>
  <si>
    <t>機械1_選定理由</t>
  </si>
  <si>
    <t>機械1_情報活用内容_提供元と提供情報</t>
  </si>
  <si>
    <t>機械1_情報活用内容_具体的に活用した情報</t>
  </si>
  <si>
    <t>機械1_自主調査の概要_調査農家の概要</t>
  </si>
  <si>
    <t>機械1_自主調査の概要_調査機械の概要</t>
  </si>
  <si>
    <t>機械1_業者との価格交渉経過</t>
  </si>
  <si>
    <t>機械2_機械区分</t>
  </si>
  <si>
    <t>機械2_機械名</t>
  </si>
  <si>
    <t>機械2_銘柄</t>
  </si>
  <si>
    <t>機械2_形式</t>
  </si>
  <si>
    <t>機械2_小売参考価格</t>
  </si>
  <si>
    <t>機械2_見積価格</t>
  </si>
  <si>
    <t>機械2_現地納入業者_名称</t>
  </si>
  <si>
    <t>機械2_現地納入業者_所在地</t>
  </si>
  <si>
    <t>機械2_現地納入業者_電話番号</t>
  </si>
  <si>
    <t>機械2_カタログ原本証明日</t>
  </si>
  <si>
    <t>様式３号</t>
  </si>
  <si>
    <t>　私は、平成21年度畜産自給力強化緊急支援事業への参加申請に当たり、畜産自給力緊急支援事業実施要領第１の２に定められた事業参加用件である配合飼料価格安定制度への継続加入等の状況について、下記のとおり申告します。</t>
  </si>
  <si>
    <t>肉豚：</t>
  </si>
  <si>
    <t>採卵鶏：</t>
  </si>
  <si>
    <t>ブロイラー：</t>
  </si>
  <si>
    <t>内借受農地</t>
  </si>
  <si>
    <t>田（借受農地）：</t>
  </si>
  <si>
    <t>畑（借受農地）：</t>
  </si>
  <si>
    <t>草地（借受農地）</t>
  </si>
  <si>
    <t>肉牛</t>
  </si>
  <si>
    <t>採卵鶏</t>
  </si>
  <si>
    <t>万羽</t>
  </si>
  <si>
    <t>肉豚</t>
  </si>
  <si>
    <t>現在の飼養状況</t>
  </si>
  <si>
    <t>飼料畑等</t>
  </si>
  <si>
    <t>　　　　　平成21年度畜産自給力強化緊急支援事業申請書作成画面</t>
  </si>
  <si>
    <t>現状_家畜飼養状況_肉豚</t>
  </si>
  <si>
    <t>現状_家畜飼養状況_採卵鶏</t>
  </si>
  <si>
    <t>現状_家畜飼養状況_ブロイラー</t>
  </si>
  <si>
    <t>現状_家畜飼養状況_乳牛_委託</t>
  </si>
  <si>
    <t>現状_家畜飼養状況_乳牛_委託</t>
  </si>
  <si>
    <t>現状_家畜飼養状況_肉牛_委託</t>
  </si>
  <si>
    <t>現状_家畜飼養状況_肉豚_委託</t>
  </si>
  <si>
    <t>申請に係る目標</t>
  </si>
  <si>
    <t>現状_家畜飼養状況_採卵鶏_委託</t>
  </si>
  <si>
    <t>現状_家畜飼養状況_ブロイラー_委託</t>
  </si>
  <si>
    <t>予備61</t>
  </si>
  <si>
    <t>予備61</t>
  </si>
  <si>
    <t>予備62</t>
  </si>
  <si>
    <t>予備62</t>
  </si>
  <si>
    <t>予備63</t>
  </si>
  <si>
    <t>予備64</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</si>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</sst>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eneral&quot;年&quot;"/>
    <numFmt numFmtId="178" formatCode="[$-411]ggge&quot;年&quot;m&quot;月&quot;d&quot;日&quot;;@"/>
    <numFmt numFmtId="179" formatCode="#,##0&quot;千&quot;&quot;円&quot;"/>
    <numFmt numFmtId="180" formatCode="General&quot;歳&quot;"/>
    <numFmt numFmtId="181" formatCode="General\%"/>
    <numFmt numFmtId="182" formatCode="#,##0.00_ ;[Red]\-#,##0.00\ "/>
    <numFmt numFmtId="183" formatCode="[$-411]ge\.m\.d;@"/>
    <numFmt numFmtId="184" formatCode="yyyy&quot;年&quot;m&quot;月&quot;;@"/>
    <numFmt numFmtId="185" formatCode="0&quot;人&quot;"/>
    <numFmt numFmtId="186" formatCode="0;;;"/>
    <numFmt numFmtId="187" formatCode="\(0\)"/>
    <numFmt numFmtId="188" formatCode="yyyy/m/d\ h:mm;@"/>
    <numFmt numFmtId="189" formatCode="General;;"/>
    <numFmt numFmtId="190" formatCode="\(General"/>
    <numFmt numFmtId="191" formatCode="\(General\)"/>
    <numFmt numFmtId="192" formatCode="[$-411]ggge&quot;年&quot;m&quot;月&quot;d&quot;日&quot;;;&quot;平成   年   月   日&quot;;@"/>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0_ ;[Red]\-#,##0\ "/>
  </numFmts>
  <fonts count="76">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sz val="9"/>
      <name val="ＭＳ Ｐ明朝"/>
      <family val="1"/>
    </font>
    <font>
      <sz val="9"/>
      <name val="ＭＳ Ｐゴシック"/>
      <family val="3"/>
    </font>
    <font>
      <sz val="8"/>
      <name val="ＭＳ Ｐ明朝"/>
      <family val="1"/>
    </font>
    <font>
      <b/>
      <sz val="11"/>
      <name val="ＭＳ Ｐ明朝"/>
      <family val="1"/>
    </font>
    <font>
      <b/>
      <sz val="11"/>
      <name val="ＭＳ Ｐゴシック"/>
      <family val="3"/>
    </font>
    <font>
      <sz val="22"/>
      <name val="ＭＳ Ｐ明朝"/>
      <family val="1"/>
    </font>
    <font>
      <sz val="18"/>
      <name val="ＭＳ Ｐゴシック"/>
      <family val="3"/>
    </font>
    <font>
      <u val="single"/>
      <sz val="11"/>
      <color indexed="12"/>
      <name val="ＭＳ Ｐゴシック"/>
      <family val="3"/>
    </font>
    <font>
      <u val="single"/>
      <sz val="11"/>
      <color indexed="36"/>
      <name val="ＭＳ Ｐゴシック"/>
      <family val="3"/>
    </font>
    <font>
      <sz val="11"/>
      <color indexed="60"/>
      <name val="ＭＳ Ｐゴシック"/>
      <family val="3"/>
    </font>
    <font>
      <sz val="11"/>
      <color indexed="56"/>
      <name val="ＭＳ Ｐゴシック"/>
      <family val="3"/>
    </font>
    <font>
      <b/>
      <sz val="11"/>
      <color indexed="18"/>
      <name val="ＭＳ Ｐゴシック"/>
      <family val="3"/>
    </font>
    <font>
      <b/>
      <sz val="11"/>
      <color indexed="60"/>
      <name val="ＭＳ Ｐゴシック"/>
      <family val="3"/>
    </font>
    <font>
      <sz val="11"/>
      <color indexed="18"/>
      <name val="ＭＳ Ｐゴシック"/>
      <family val="3"/>
    </font>
    <font>
      <b/>
      <sz val="12"/>
      <color indexed="17"/>
      <name val="ＭＳ Ｐゴシック"/>
      <family val="3"/>
    </font>
    <font>
      <sz val="10"/>
      <color indexed="56"/>
      <name val="ＭＳ Ｐゴシック"/>
      <family val="3"/>
    </font>
    <font>
      <b/>
      <sz val="11"/>
      <color indexed="56"/>
      <name val="ＭＳ Ｐゴシック"/>
      <family val="3"/>
    </font>
    <font>
      <sz val="9"/>
      <color indexed="56"/>
      <name val="ＭＳ Ｐゴシック"/>
      <family val="3"/>
    </font>
    <font>
      <sz val="11"/>
      <name val="HG丸ｺﾞｼｯｸM-PRO"/>
      <family val="3"/>
    </font>
    <font>
      <sz val="14"/>
      <name val="ＭＳ Ｐゴシック"/>
      <family val="3"/>
    </font>
    <font>
      <sz val="12"/>
      <color indexed="18"/>
      <name val="ＭＳ Ｐゴシック"/>
      <family val="3"/>
    </font>
    <font>
      <sz val="16"/>
      <name val="ＭＳ Ｐゴシック"/>
      <family val="3"/>
    </font>
    <font>
      <b/>
      <sz val="12"/>
      <color indexed="57"/>
      <name val="ＭＳ Ｐゴシック"/>
      <family val="3"/>
    </font>
    <font>
      <sz val="9"/>
      <color indexed="10"/>
      <name val="ＭＳ Ｐゴシック"/>
      <family val="3"/>
    </font>
    <font>
      <sz val="9"/>
      <color indexed="12"/>
      <name val="ＭＳ Ｐ明朝"/>
      <family val="1"/>
    </font>
    <font>
      <b/>
      <sz val="9"/>
      <name val="ＭＳ Ｐゴシック"/>
      <family val="3"/>
    </font>
    <font>
      <b/>
      <sz val="16"/>
      <color indexed="60"/>
      <name val="ＭＳ Ｐゴシック"/>
      <family val="3"/>
    </font>
    <font>
      <sz val="9"/>
      <color indexed="12"/>
      <name val="ＭＳ Ｐゴシック"/>
      <family val="3"/>
    </font>
    <font>
      <sz val="18"/>
      <name val="ＭＳ Ｐ明朝"/>
      <family val="1"/>
    </font>
    <font>
      <sz val="8"/>
      <name val="ＭＳ Ｐゴシック"/>
      <family val="3"/>
    </font>
    <font>
      <sz val="24"/>
      <color indexed="56"/>
      <name val="ＭＳ Ｐゴシック"/>
      <family val="3"/>
    </font>
    <font>
      <b/>
      <sz val="14"/>
      <color indexed="10"/>
      <name val="ＭＳ Ｐゴシック"/>
      <family val="3"/>
    </font>
    <font>
      <sz val="14"/>
      <color indexed="10"/>
      <name val="ＭＳ Ｐゴシック"/>
      <family val="3"/>
    </font>
    <font>
      <b/>
      <sz val="14"/>
      <color indexed="52"/>
      <name val="ＭＳ Ｐゴシック"/>
      <family val="3"/>
    </font>
    <font>
      <b/>
      <sz val="14"/>
      <color indexed="60"/>
      <name val="ＭＳ Ｐゴシック"/>
      <family val="3"/>
    </font>
    <font>
      <b/>
      <sz val="12"/>
      <color indexed="10"/>
      <name val="ＭＳ Ｐゴシック"/>
      <family val="3"/>
    </font>
    <font>
      <sz val="9"/>
      <color indexed="57"/>
      <name val="ＭＳ Ｐ明朝"/>
      <family val="1"/>
    </font>
    <font>
      <sz val="9"/>
      <color indexed="5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name val="ＭＳ Ｐ明朝"/>
      <family val="1"/>
    </font>
    <font>
      <b/>
      <sz val="16"/>
      <name val="ＭＳ Ｐ明朝"/>
      <family val="1"/>
    </font>
    <font>
      <b/>
      <sz val="14"/>
      <color indexed="61"/>
      <name val="ＭＳ Ｐゴシック"/>
      <family val="3"/>
    </font>
    <font>
      <b/>
      <sz val="18"/>
      <color indexed="10"/>
      <name val="ＭＳ Ｐゴシック"/>
      <family val="3"/>
    </font>
    <font>
      <b/>
      <sz val="11"/>
      <name val="HG丸ｺﾞｼｯｸM-PRO"/>
      <family val="3"/>
    </font>
    <font>
      <b/>
      <sz val="12"/>
      <color indexed="11"/>
      <name val="ＭＳ Ｐゴシック"/>
      <family val="3"/>
    </font>
    <font>
      <b/>
      <sz val="12"/>
      <color indexed="48"/>
      <name val="ＭＳ Ｐゴシック"/>
      <family val="3"/>
    </font>
    <font>
      <b/>
      <sz val="12"/>
      <color indexed="14"/>
      <name val="ＭＳ Ｐゴシック"/>
      <family val="3"/>
    </font>
    <font>
      <b/>
      <sz val="12"/>
      <color indexed="61"/>
      <name val="ＭＳ Ｐゴシック"/>
      <family val="3"/>
    </font>
    <font>
      <sz val="12"/>
      <name val="ＭＳ Ｐ明朝"/>
      <family val="1"/>
    </font>
    <font>
      <b/>
      <sz val="14"/>
      <color indexed="18"/>
      <name val="ＭＳ Ｐゴシック"/>
      <family val="3"/>
    </font>
    <font>
      <b/>
      <sz val="14"/>
      <name val="ＭＳ Ｐゴシック"/>
      <family val="3"/>
    </font>
    <font>
      <b/>
      <sz val="14"/>
      <color indexed="48"/>
      <name val="ＭＳ Ｐゴシック"/>
      <family val="3"/>
    </font>
    <font>
      <b/>
      <sz val="11"/>
      <color indexed="10"/>
      <name val="ＭＳ Ｐゴシック"/>
      <family val="3"/>
    </font>
    <font>
      <b/>
      <u val="single"/>
      <sz val="14"/>
      <color indexed="10"/>
      <name val="ＭＳ Ｐゴシック"/>
      <family val="3"/>
    </font>
    <font>
      <b/>
      <sz val="16"/>
      <color indexed="1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thin"/>
      <top style="thin"/>
      <bottom style="hair"/>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thin"/>
    </border>
    <border>
      <left>
        <color indexed="63"/>
      </left>
      <right style="hair"/>
      <top>
        <color indexed="63"/>
      </top>
      <bottom style="thin"/>
    </border>
    <border>
      <left style="dotted"/>
      <right style="dotted"/>
      <top>
        <color indexed="63"/>
      </top>
      <bottom>
        <color indexed="63"/>
      </bottom>
    </border>
    <border>
      <left style="medium"/>
      <right style="medium"/>
      <top style="hair"/>
      <bottom style="hair"/>
    </border>
    <border>
      <left style="medium"/>
      <right style="medium"/>
      <top style="hair"/>
      <bottom style="medium"/>
    </border>
    <border>
      <left style="medium"/>
      <right style="medium"/>
      <top style="medium"/>
      <bottom style="hair"/>
    </border>
    <border>
      <left style="hair">
        <color indexed="56"/>
      </left>
      <right style="hair">
        <color indexed="56"/>
      </right>
      <top style="hair">
        <color indexed="56"/>
      </top>
      <bottom style="hair">
        <color indexed="56"/>
      </bottom>
    </border>
    <border>
      <left>
        <color indexed="63"/>
      </left>
      <right style="thin">
        <color indexed="56"/>
      </right>
      <top style="thin">
        <color indexed="56"/>
      </top>
      <bottom style="thin">
        <color indexed="56"/>
      </bottom>
    </border>
    <border>
      <left style="thin">
        <color indexed="56"/>
      </left>
      <right>
        <color indexed="63"/>
      </right>
      <top>
        <color indexed="63"/>
      </top>
      <bottom>
        <color indexed="63"/>
      </bottom>
    </border>
    <border>
      <left style="hair">
        <color indexed="56"/>
      </left>
      <right style="hair">
        <color indexed="56"/>
      </right>
      <top style="thin">
        <color indexed="56"/>
      </top>
      <bottom style="hair">
        <color indexed="56"/>
      </bottom>
    </border>
    <border>
      <left style="thin">
        <color indexed="56"/>
      </left>
      <right style="hair">
        <color indexed="56"/>
      </right>
      <top style="thin">
        <color indexed="56"/>
      </top>
      <bottom style="thin">
        <color indexed="56"/>
      </bottom>
    </border>
    <border>
      <left>
        <color indexed="63"/>
      </left>
      <right>
        <color indexed="63"/>
      </right>
      <top style="thin">
        <color indexed="56"/>
      </top>
      <bottom style="thin">
        <color indexed="56"/>
      </bottom>
    </border>
    <border>
      <left style="hair">
        <color indexed="56"/>
      </left>
      <right>
        <color indexed="63"/>
      </right>
      <top style="thin">
        <color indexed="56"/>
      </top>
      <bottom style="thin">
        <color indexed="56"/>
      </bottom>
    </border>
    <border>
      <left>
        <color indexed="63"/>
      </left>
      <right style="thin">
        <color indexed="56"/>
      </right>
      <top>
        <color indexed="63"/>
      </top>
      <bottom>
        <color indexed="63"/>
      </bottom>
    </border>
    <border>
      <left style="hair">
        <color indexed="56"/>
      </left>
      <right style="hair">
        <color indexed="56"/>
      </right>
      <top>
        <color indexed="63"/>
      </top>
      <bottom>
        <color indexed="63"/>
      </bottom>
    </border>
    <border>
      <left style="hair">
        <color indexed="56"/>
      </left>
      <right style="hair">
        <color indexed="56"/>
      </right>
      <top style="hair">
        <color indexed="56"/>
      </top>
      <bottom style="thin">
        <color indexed="56"/>
      </bottom>
    </border>
    <border>
      <left style="thin"/>
      <right style="thin"/>
      <top style="thin"/>
      <bottom style="thin"/>
    </border>
    <border>
      <left style="thin"/>
      <right style="thin"/>
      <top style="thin"/>
      <bottom>
        <color indexed="63"/>
      </bottom>
    </border>
    <border>
      <left style="thin"/>
      <right>
        <color indexed="63"/>
      </right>
      <top>
        <color indexed="63"/>
      </top>
      <bottom style="hair"/>
    </border>
    <border>
      <left style="thin"/>
      <right>
        <color indexed="63"/>
      </right>
      <top style="hair"/>
      <bottom style="hair"/>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color indexed="63"/>
      </top>
      <bottom style="thin">
        <color indexed="56"/>
      </bottom>
    </border>
    <border>
      <left>
        <color indexed="63"/>
      </left>
      <right style="thin">
        <color indexed="56"/>
      </right>
      <top>
        <color indexed="63"/>
      </top>
      <bottom style="thin">
        <color indexed="56"/>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hair"/>
    </border>
    <border>
      <left style="thin"/>
      <right style="thin"/>
      <top style="thin"/>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thin"/>
      <top style="hair"/>
      <bottom>
        <color indexed="63"/>
      </bottom>
    </border>
    <border>
      <left style="thin"/>
      <right style="medium"/>
      <top>
        <color indexed="63"/>
      </top>
      <bottom>
        <color indexed="63"/>
      </bottom>
    </border>
    <border>
      <left style="medium"/>
      <right style="medium"/>
      <top>
        <color indexed="63"/>
      </top>
      <bottom>
        <color indexed="63"/>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color indexed="63"/>
      </right>
      <top style="medium"/>
      <bottom style="thin"/>
    </border>
    <border>
      <left style="thin"/>
      <right>
        <color indexed="63"/>
      </right>
      <top style="thin"/>
      <bottom style="hair"/>
    </border>
    <border>
      <left style="thin"/>
      <right>
        <color indexed="63"/>
      </right>
      <top style="hair"/>
      <bottom style="medium"/>
    </border>
    <border>
      <left style="thin"/>
      <right style="medium"/>
      <top style="hair"/>
      <bottom style="medium"/>
    </border>
    <border>
      <left style="thin"/>
      <right style="medium"/>
      <top style="medium"/>
      <bottom style="thin"/>
    </border>
    <border>
      <left style="thin">
        <color indexed="56"/>
      </left>
      <right style="hair">
        <color indexed="56"/>
      </right>
      <top style="thin">
        <color indexed="56"/>
      </top>
      <bottom style="thin"/>
    </border>
    <border>
      <left>
        <color indexed="63"/>
      </left>
      <right style="hair"/>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color indexed="56"/>
      </left>
      <right style="thin">
        <color indexed="56"/>
      </right>
      <top style="thin">
        <color indexed="56"/>
      </top>
      <bottom style="thin">
        <color indexed="56"/>
      </bottom>
    </border>
    <border>
      <left>
        <color indexed="63"/>
      </left>
      <right>
        <color indexed="63"/>
      </right>
      <top style="hair"/>
      <bottom style="thin">
        <color indexed="56"/>
      </bottom>
    </border>
    <border>
      <left>
        <color indexed="63"/>
      </left>
      <right style="thin"/>
      <top style="hair"/>
      <bottom style="thin">
        <color indexed="56"/>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color indexed="56"/>
      </top>
      <bottom style="hair"/>
    </border>
    <border>
      <left>
        <color indexed="63"/>
      </left>
      <right style="thin"/>
      <top style="thin">
        <color indexed="56"/>
      </top>
      <bottom style="hair"/>
    </border>
    <border>
      <left>
        <color indexed="63"/>
      </left>
      <right style="hair"/>
      <top style="thin"/>
      <bottom style="hair"/>
    </border>
    <border>
      <left style="thin"/>
      <right>
        <color indexed="63"/>
      </right>
      <top style="hair"/>
      <bottom style="thin"/>
    </border>
    <border>
      <left>
        <color indexed="63"/>
      </left>
      <right style="hair"/>
      <top style="hair"/>
      <bottom style="thin"/>
    </border>
    <border>
      <left style="thin"/>
      <right style="hair"/>
      <top>
        <color indexed="63"/>
      </top>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thin"/>
      <right style="thin"/>
      <top style="hair"/>
      <bottom style="thin"/>
    </border>
    <border>
      <left style="thin"/>
      <right style="hair"/>
      <top style="thin"/>
      <bottom style="hair"/>
    </border>
    <border>
      <left style="thin"/>
      <right style="hair"/>
      <top style="hair"/>
      <bottom style="hair"/>
    </border>
    <border>
      <left style="dotted"/>
      <right style="dotted"/>
      <top style="dotted"/>
      <bottom>
        <color indexed="63"/>
      </bottom>
    </border>
    <border>
      <left style="dotted"/>
      <right style="dotted"/>
      <top>
        <color indexed="63"/>
      </top>
      <bottom style="dotted"/>
    </border>
    <border>
      <left style="thin">
        <color indexed="56"/>
      </left>
      <right style="hair">
        <color indexed="56"/>
      </right>
      <top style="hair">
        <color indexed="56"/>
      </top>
      <bottom style="hair">
        <color indexed="56"/>
      </bottom>
    </border>
    <border>
      <left style="thin">
        <color indexed="56"/>
      </left>
      <right style="hair">
        <color indexed="56"/>
      </right>
      <top style="hair">
        <color indexed="56"/>
      </top>
      <bottom style="thin">
        <color indexed="56"/>
      </bottom>
    </border>
    <border>
      <left style="thin">
        <color indexed="56"/>
      </left>
      <right style="hair">
        <color indexed="56"/>
      </right>
      <top style="thin">
        <color indexed="56"/>
      </top>
      <bottom style="hair">
        <color indexed="56"/>
      </bottom>
    </border>
    <border>
      <left style="hair">
        <color indexed="56"/>
      </left>
      <right>
        <color indexed="63"/>
      </right>
      <top style="thin">
        <color indexed="56"/>
      </top>
      <bottom style="hair">
        <color indexed="56"/>
      </bottom>
    </border>
    <border>
      <left style="hair">
        <color indexed="56"/>
      </left>
      <right>
        <color indexed="63"/>
      </right>
      <top style="hair">
        <color indexed="56"/>
      </top>
      <bottom style="thin">
        <color indexed="56"/>
      </bottom>
    </border>
    <border>
      <left style="hair">
        <color indexed="56"/>
      </left>
      <right style="thin">
        <color indexed="56"/>
      </right>
      <top style="hair">
        <color indexed="56"/>
      </top>
      <bottom style="thin">
        <color indexed="56"/>
      </bottom>
    </border>
    <border>
      <left style="hair">
        <color indexed="56"/>
      </left>
      <right>
        <color indexed="63"/>
      </right>
      <top style="hair">
        <color indexed="56"/>
      </top>
      <bottom style="hair">
        <color indexed="56"/>
      </bottom>
    </border>
    <border>
      <left>
        <color indexed="63"/>
      </left>
      <right>
        <color indexed="63"/>
      </right>
      <top style="hair">
        <color indexed="56"/>
      </top>
      <bottom style="hair">
        <color indexed="56"/>
      </bottom>
    </border>
    <border>
      <left>
        <color indexed="63"/>
      </left>
      <right style="thin">
        <color indexed="56"/>
      </right>
      <top style="hair">
        <color indexed="56"/>
      </top>
      <bottom style="hair">
        <color indexed="56"/>
      </bottom>
    </border>
    <border>
      <left style="hair">
        <color indexed="56"/>
      </left>
      <right style="thin">
        <color indexed="56"/>
      </right>
      <top style="thin">
        <color indexed="56"/>
      </top>
      <bottom style="hair">
        <color indexed="56"/>
      </bottom>
    </border>
    <border>
      <left>
        <color indexed="63"/>
      </left>
      <right style="hair">
        <color indexed="56"/>
      </right>
      <top style="hair">
        <color indexed="56"/>
      </top>
      <bottom style="hair">
        <color indexed="56"/>
      </bottom>
    </border>
    <border>
      <left>
        <color indexed="63"/>
      </left>
      <right style="hair">
        <color indexed="56"/>
      </right>
      <top style="thin">
        <color indexed="56"/>
      </top>
      <bottom style="hair">
        <color indexed="56"/>
      </bottom>
    </border>
    <border>
      <left style="hair">
        <color indexed="56"/>
      </left>
      <right style="thin">
        <color indexed="56"/>
      </right>
      <top style="hair">
        <color indexed="56"/>
      </top>
      <bottom style="hair">
        <color indexed="56"/>
      </bottom>
    </border>
    <border>
      <left style="hair">
        <color indexed="56"/>
      </left>
      <right style="hair">
        <color indexed="56"/>
      </right>
      <top>
        <color indexed="63"/>
      </top>
      <bottom style="thin">
        <color indexed="56"/>
      </bottom>
    </border>
    <border>
      <left style="thin">
        <color indexed="56"/>
      </left>
      <right style="hair">
        <color indexed="56"/>
      </right>
      <top style="hair">
        <color indexed="56"/>
      </top>
      <bottom>
        <color indexed="63"/>
      </bottom>
    </border>
    <border>
      <left style="hair">
        <color indexed="56"/>
      </left>
      <right style="hair">
        <color indexed="56"/>
      </right>
      <top style="hair">
        <color indexed="56"/>
      </top>
      <bottom>
        <color indexed="63"/>
      </bottom>
    </border>
    <border>
      <left style="thin">
        <color indexed="56"/>
      </left>
      <right>
        <color indexed="63"/>
      </right>
      <top style="hair">
        <color indexed="56"/>
      </top>
      <bottom style="hair">
        <color indexed="56"/>
      </bottom>
    </border>
    <border>
      <left style="thin">
        <color indexed="18"/>
      </left>
      <right style="hair">
        <color indexed="18"/>
      </right>
      <top style="thin">
        <color indexed="18"/>
      </top>
      <bottom style="thin">
        <color indexed="18"/>
      </bottom>
    </border>
    <border>
      <left style="hair">
        <color indexed="18"/>
      </left>
      <right style="hair">
        <color indexed="18"/>
      </right>
      <top style="thin">
        <color indexed="18"/>
      </top>
      <bottom style="thin">
        <color indexed="18"/>
      </bottom>
    </border>
    <border>
      <left>
        <color indexed="63"/>
      </left>
      <right>
        <color indexed="63"/>
      </right>
      <top style="thin">
        <color indexed="18"/>
      </top>
      <bottom>
        <color indexed="63"/>
      </bottom>
    </border>
    <border>
      <left style="thin">
        <color indexed="18"/>
      </left>
      <right>
        <color indexed="63"/>
      </right>
      <top style="thin">
        <color indexed="18"/>
      </top>
      <bottom>
        <color indexed="63"/>
      </bottom>
    </border>
    <border>
      <left>
        <color indexed="63"/>
      </left>
      <right style="hair">
        <color indexed="18"/>
      </right>
      <top style="thin">
        <color indexed="18"/>
      </top>
      <bottom>
        <color indexed="63"/>
      </bottom>
    </border>
    <border>
      <left style="thin">
        <color indexed="18"/>
      </left>
      <right>
        <color indexed="63"/>
      </right>
      <top>
        <color indexed="63"/>
      </top>
      <bottom style="thin">
        <color indexed="18"/>
      </bottom>
    </border>
    <border>
      <left>
        <color indexed="63"/>
      </left>
      <right style="hair">
        <color indexed="18"/>
      </right>
      <top>
        <color indexed="63"/>
      </top>
      <bottom style="thin">
        <color indexed="18"/>
      </bottom>
    </border>
    <border>
      <left style="hair">
        <color indexed="18"/>
      </left>
      <right style="hair">
        <color indexed="18"/>
      </right>
      <top style="thin">
        <color indexed="18"/>
      </top>
      <bottom style="hair">
        <color indexed="18"/>
      </bottom>
    </border>
    <border>
      <left style="hair">
        <color indexed="18"/>
      </left>
      <right style="thin">
        <color indexed="18"/>
      </right>
      <top style="thin">
        <color indexed="18"/>
      </top>
      <bottom style="hair">
        <color indexed="18"/>
      </bottom>
    </border>
    <border>
      <left style="hair">
        <color indexed="18"/>
      </left>
      <right>
        <color indexed="63"/>
      </right>
      <top style="thin">
        <color indexed="18"/>
      </top>
      <bottom style="thin">
        <color indexed="18"/>
      </bottom>
    </border>
    <border>
      <left style="hair">
        <color indexed="18"/>
      </left>
      <right style="hair">
        <color indexed="18"/>
      </right>
      <top style="thin">
        <color indexed="18"/>
      </top>
      <bottom>
        <color indexed="63"/>
      </bottom>
    </border>
    <border>
      <left style="hair">
        <color indexed="18"/>
      </left>
      <right style="thin">
        <color indexed="18"/>
      </right>
      <top style="thin">
        <color indexed="18"/>
      </top>
      <bottom>
        <color indexed="63"/>
      </bottom>
    </border>
    <border>
      <left style="hair">
        <color indexed="18"/>
      </left>
      <right style="hair">
        <color indexed="18"/>
      </right>
      <top>
        <color indexed="63"/>
      </top>
      <bottom style="thin">
        <color indexed="18"/>
      </bottom>
    </border>
    <border>
      <left style="hair">
        <color indexed="18"/>
      </left>
      <right style="thin">
        <color indexed="18"/>
      </right>
      <top>
        <color indexed="63"/>
      </top>
      <bottom style="thin">
        <color indexed="18"/>
      </bottom>
    </border>
    <border>
      <left style="thin"/>
      <right style="thin">
        <color indexed="56"/>
      </right>
      <top style="hair"/>
      <bottom style="thin"/>
    </border>
    <border>
      <left style="thin">
        <color indexed="56"/>
      </left>
      <right>
        <color indexed="63"/>
      </right>
      <top style="hair"/>
      <bottom style="thin"/>
    </border>
    <border>
      <left>
        <color indexed="63"/>
      </left>
      <right style="thin">
        <color indexed="56"/>
      </right>
      <top style="hair"/>
      <bottom style="thin"/>
    </border>
    <border>
      <left>
        <color indexed="63"/>
      </left>
      <right style="thin">
        <color indexed="56"/>
      </right>
      <top style="thin"/>
      <bottom style="hair"/>
    </border>
    <border>
      <left style="thin">
        <color indexed="56"/>
      </left>
      <right>
        <color indexed="63"/>
      </right>
      <top style="thin"/>
      <bottom style="hair"/>
    </border>
    <border>
      <left style="hair">
        <color indexed="18"/>
      </left>
      <right style="hair">
        <color indexed="18"/>
      </right>
      <top style="hair">
        <color indexed="18"/>
      </top>
      <bottom style="thin">
        <color indexed="18"/>
      </bottom>
    </border>
    <border>
      <left style="hair">
        <color indexed="18"/>
      </left>
      <right style="thin">
        <color indexed="18"/>
      </right>
      <top style="hair">
        <color indexed="18"/>
      </top>
      <bottom style="thin">
        <color indexed="18"/>
      </bottom>
    </border>
    <border>
      <left>
        <color indexed="63"/>
      </left>
      <right style="thin">
        <color indexed="56"/>
      </right>
      <top style="hair"/>
      <bottom style="thin">
        <color indexed="56"/>
      </bottom>
    </border>
    <border>
      <left style="thin">
        <color indexed="56"/>
      </left>
      <right>
        <color indexed="63"/>
      </right>
      <top style="hair"/>
      <bottom style="thin">
        <color indexed="56"/>
      </bottom>
    </border>
    <border>
      <left style="thin">
        <color indexed="56"/>
      </left>
      <right style="thin">
        <color indexed="56"/>
      </right>
      <top style="hair">
        <color indexed="56"/>
      </top>
      <bottom style="thin">
        <color indexed="56"/>
      </bottom>
    </border>
    <border>
      <left style="thin">
        <color indexed="56"/>
      </left>
      <right style="thin">
        <color indexed="56"/>
      </right>
      <top style="thin">
        <color indexed="56"/>
      </top>
      <bottom style="thin">
        <color indexed="56"/>
      </bottom>
    </border>
    <border>
      <left style="thin">
        <color indexed="56"/>
      </left>
      <right style="thin">
        <color indexed="56"/>
      </right>
      <top style="thin">
        <color indexed="56"/>
      </top>
      <bottom style="hair">
        <color indexed="56"/>
      </bottom>
    </border>
    <border>
      <left>
        <color indexed="63"/>
      </left>
      <right>
        <color indexed="63"/>
      </right>
      <top style="hair">
        <color indexed="56"/>
      </top>
      <bottom style="thin">
        <color indexed="56"/>
      </bottom>
    </border>
    <border>
      <left>
        <color indexed="63"/>
      </left>
      <right style="hair">
        <color indexed="56"/>
      </right>
      <top style="hair">
        <color indexed="56"/>
      </top>
      <bottom style="thin">
        <color indexed="56"/>
      </bottom>
    </border>
    <border>
      <left style="hair">
        <color indexed="56"/>
      </left>
      <right style="thin">
        <color indexed="56"/>
      </right>
      <top>
        <color indexed="63"/>
      </top>
      <bottom style="thin">
        <color indexed="56"/>
      </bottom>
    </border>
    <border>
      <left style="thin">
        <color indexed="56"/>
      </left>
      <right style="thin">
        <color indexed="56"/>
      </right>
      <top style="hair">
        <color indexed="56"/>
      </top>
      <bottom style="hair">
        <color indexed="56"/>
      </bottom>
    </border>
    <border>
      <left style="hair">
        <color indexed="56"/>
      </left>
      <right style="hair">
        <color indexed="56"/>
      </right>
      <top style="thin">
        <color indexed="56"/>
      </top>
      <bottom style="thin">
        <color indexed="56"/>
      </bottom>
    </border>
    <border>
      <left style="thin">
        <color indexed="56"/>
      </left>
      <right>
        <color indexed="63"/>
      </right>
      <top style="thin">
        <color indexed="56"/>
      </top>
      <bottom style="hair">
        <color indexed="56"/>
      </bottom>
    </border>
    <border>
      <left>
        <color indexed="63"/>
      </left>
      <right>
        <color indexed="63"/>
      </right>
      <top style="thin">
        <color indexed="56"/>
      </top>
      <bottom style="hair">
        <color indexed="56"/>
      </bottom>
    </border>
    <border>
      <left>
        <color indexed="63"/>
      </left>
      <right style="thin">
        <color indexed="56"/>
      </right>
      <top style="thin">
        <color indexed="56"/>
      </top>
      <bottom style="hair">
        <color indexed="56"/>
      </bottom>
    </border>
    <border>
      <left style="thin">
        <color indexed="56"/>
      </left>
      <right>
        <color indexed="63"/>
      </right>
      <top style="thin">
        <color indexed="56"/>
      </top>
      <bottom style="thin">
        <color indexed="56"/>
      </bottom>
    </border>
    <border>
      <left>
        <color indexed="63"/>
      </left>
      <right style="hair">
        <color indexed="56"/>
      </right>
      <top style="thin">
        <color indexed="56"/>
      </top>
      <bottom style="thin">
        <color indexed="56"/>
      </bottom>
    </border>
    <border>
      <left>
        <color indexed="63"/>
      </left>
      <right style="thin">
        <color indexed="56"/>
      </right>
      <top>
        <color indexed="63"/>
      </top>
      <bottom style="hair"/>
    </border>
    <border>
      <left style="thin">
        <color indexed="56"/>
      </left>
      <right>
        <color indexed="63"/>
      </right>
      <top>
        <color indexed="63"/>
      </top>
      <bottom style="hair"/>
    </border>
    <border>
      <left style="thin"/>
      <right style="thin">
        <color indexed="56"/>
      </right>
      <top style="thin"/>
      <bottom style="hair"/>
    </border>
    <border>
      <left style="thin">
        <color indexed="56"/>
      </left>
      <right>
        <color indexed="63"/>
      </right>
      <top>
        <color indexed="63"/>
      </top>
      <bottom style="thin">
        <color indexed="56"/>
      </bottom>
    </border>
    <border>
      <left>
        <color indexed="63"/>
      </left>
      <right style="thin">
        <color indexed="56"/>
      </right>
      <top style="thin">
        <color indexed="56"/>
      </top>
      <bottom style="hair"/>
    </border>
    <border>
      <left style="thin">
        <color indexed="56"/>
      </left>
      <right>
        <color indexed="63"/>
      </right>
      <top style="thin">
        <color indexed="56"/>
      </top>
      <bottom style="hair"/>
    </border>
    <border>
      <left style="thin"/>
      <right style="thin">
        <color indexed="56"/>
      </right>
      <top style="thin">
        <color indexed="56"/>
      </top>
      <bottom style="hair"/>
    </border>
    <border>
      <left style="thin">
        <color indexed="56"/>
      </left>
      <right style="hair">
        <color indexed="56"/>
      </right>
      <top>
        <color indexed="63"/>
      </top>
      <bottom>
        <color indexed="63"/>
      </bottom>
    </border>
    <border>
      <left style="thin">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hair">
        <color indexed="56"/>
      </right>
      <top style="thin">
        <color indexed="56"/>
      </top>
      <bottom>
        <color indexed="63"/>
      </bottom>
    </border>
    <border>
      <left>
        <color indexed="63"/>
      </left>
      <right style="hair">
        <color indexed="56"/>
      </right>
      <top>
        <color indexed="63"/>
      </top>
      <bottom style="thin">
        <color indexed="56"/>
      </bottom>
    </border>
    <border>
      <left>
        <color indexed="63"/>
      </left>
      <right style="thin">
        <color indexed="56"/>
      </right>
      <top style="hair">
        <color indexed="56"/>
      </top>
      <bottom style="thin">
        <color indexed="56"/>
      </bottom>
    </border>
    <border>
      <left style="thin">
        <color indexed="18"/>
      </left>
      <right style="hair">
        <color indexed="18"/>
      </right>
      <top style="thin">
        <color indexed="18"/>
      </top>
      <bottom>
        <color indexed="63"/>
      </bottom>
    </border>
    <border>
      <left style="thin">
        <color indexed="18"/>
      </left>
      <right style="hair">
        <color indexed="18"/>
      </right>
      <top>
        <color indexed="63"/>
      </top>
      <bottom style="thin">
        <color indexed="18"/>
      </bottom>
    </border>
    <border>
      <left>
        <color indexed="63"/>
      </left>
      <right style="hair">
        <color indexed="18"/>
      </right>
      <top style="thin">
        <color indexed="18"/>
      </top>
      <bottom style="thin">
        <color indexed="18"/>
      </bottom>
    </border>
    <border>
      <left style="hair">
        <color indexed="56"/>
      </left>
      <right style="hair">
        <color indexed="56"/>
      </right>
      <top>
        <color indexed="63"/>
      </top>
      <bottom style="hair">
        <color indexed="56"/>
      </bottom>
    </border>
    <border>
      <left style="hair">
        <color indexed="56"/>
      </left>
      <right style="thin">
        <color indexed="56"/>
      </right>
      <top>
        <color indexed="63"/>
      </top>
      <bottom style="hair">
        <color indexed="56"/>
      </bottom>
    </border>
    <border>
      <left style="thin">
        <color indexed="56"/>
      </left>
      <right style="hair">
        <color indexed="56"/>
      </right>
      <top>
        <color indexed="63"/>
      </top>
      <bottom style="hair">
        <color indexed="56"/>
      </bottom>
    </border>
    <border>
      <left style="hair"/>
      <right style="hair"/>
      <top style="thin"/>
      <bottom style="thin"/>
    </border>
    <border>
      <left style="hair"/>
      <right style="thin"/>
      <top style="thin"/>
      <bottom style="thin"/>
    </border>
    <border>
      <left style="hair">
        <color indexed="56"/>
      </left>
      <right>
        <color indexed="63"/>
      </right>
      <top style="thin">
        <color indexed="56"/>
      </top>
      <bottom>
        <color indexed="63"/>
      </bottom>
    </border>
    <border>
      <left>
        <color indexed="63"/>
      </left>
      <right style="thin">
        <color indexed="56"/>
      </right>
      <top style="thin">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color indexed="63"/>
      </left>
      <right style="thin">
        <color indexed="56"/>
      </right>
      <top>
        <color indexed="63"/>
      </top>
      <bottom style="hair">
        <color indexed="56"/>
      </bottom>
    </border>
    <border>
      <left style="hair"/>
      <right style="thin"/>
      <top style="thin"/>
      <bottom style="hair"/>
    </border>
    <border>
      <left style="hair">
        <color indexed="56"/>
      </left>
      <right>
        <color indexed="63"/>
      </right>
      <top style="thin">
        <color indexed="56"/>
      </top>
      <bottom style="thin"/>
    </border>
    <border>
      <left>
        <color indexed="63"/>
      </left>
      <right>
        <color indexed="63"/>
      </right>
      <top style="thin">
        <color indexed="56"/>
      </top>
      <bottom style="thin"/>
    </border>
    <border>
      <left>
        <color indexed="63"/>
      </left>
      <right style="thin">
        <color indexed="56"/>
      </right>
      <top style="thin">
        <color indexed="56"/>
      </top>
      <bottom style="thin"/>
    </border>
    <border>
      <left style="hair">
        <color indexed="56"/>
      </left>
      <right style="hair">
        <color indexed="56"/>
      </right>
      <top style="thin">
        <color indexed="56"/>
      </top>
      <bottom style="thin"/>
    </border>
    <border>
      <left style="hair">
        <color indexed="56"/>
      </left>
      <right style="thin">
        <color indexed="56"/>
      </right>
      <top style="thin">
        <color indexed="56"/>
      </top>
      <bottom style="thin"/>
    </border>
    <border>
      <left style="thin">
        <color indexed="56"/>
      </left>
      <right>
        <color indexed="63"/>
      </right>
      <top style="thin">
        <color indexed="56"/>
      </top>
      <bottom style="thin"/>
    </border>
    <border>
      <left>
        <color indexed="63"/>
      </left>
      <right style="thin"/>
      <top style="thin">
        <color indexed="56"/>
      </top>
      <bottom style="thin"/>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hair"/>
      <bottom style="thin">
        <color indexed="56"/>
      </bottom>
    </border>
    <border>
      <left style="hair"/>
      <right style="hair"/>
      <top>
        <color indexed="63"/>
      </top>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style="thin"/>
      <top style="hair"/>
      <bottom>
        <color indexed="63"/>
      </bottom>
    </border>
    <border>
      <left style="hair"/>
      <right style="thin"/>
      <top>
        <color indexed="63"/>
      </top>
      <bottom style="hair"/>
    </border>
    <border>
      <left style="hair"/>
      <right style="hair"/>
      <top>
        <color indexed="63"/>
      </top>
      <bottom style="hair"/>
    </border>
    <border>
      <left style="thin"/>
      <right style="dotted"/>
      <top style="thin"/>
      <bottom style="hair"/>
    </border>
    <border>
      <left style="dotted"/>
      <right>
        <color indexed="63"/>
      </right>
      <top style="thin"/>
      <bottom style="hair"/>
    </border>
    <border>
      <left>
        <color indexed="63"/>
      </left>
      <right style="hair"/>
      <top>
        <color indexed="63"/>
      </top>
      <bottom>
        <color indexed="63"/>
      </bottom>
    </border>
    <border>
      <left>
        <color indexed="63"/>
      </left>
      <right style="hair"/>
      <top>
        <color indexed="63"/>
      </top>
      <bottom style="hair"/>
    </border>
    <border>
      <left style="thin"/>
      <right>
        <color indexed="63"/>
      </right>
      <top style="hair">
        <color indexed="56"/>
      </top>
      <bottom style="thin">
        <color indexed="56"/>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47" fillId="0" borderId="3" applyNumberFormat="0" applyFill="0" applyAlignment="0" applyProtection="0"/>
    <xf numFmtId="0" fontId="48" fillId="3" borderId="0" applyNumberFormat="0" applyBorder="0" applyAlignment="0" applyProtection="0"/>
    <xf numFmtId="0" fontId="49" fillId="23"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53" fillId="0" borderId="8" applyNumberFormat="0" applyFill="0" applyAlignment="0" applyProtection="0"/>
    <xf numFmtId="0" fontId="54" fillId="23"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7" borderId="4" applyNumberFormat="0" applyAlignment="0" applyProtection="0"/>
    <xf numFmtId="0" fontId="13" fillId="0" borderId="0" applyNumberFormat="0" applyFill="0" applyBorder="0" applyAlignment="0" applyProtection="0"/>
    <xf numFmtId="0" fontId="57" fillId="4" borderId="0" applyNumberFormat="0" applyBorder="0" applyAlignment="0" applyProtection="0"/>
  </cellStyleXfs>
  <cellXfs count="924">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178" fontId="1" fillId="0" borderId="0" xfId="0" applyNumberFormat="1"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Alignment="1">
      <alignment horizontal="right" vertical="center"/>
    </xf>
    <xf numFmtId="0" fontId="1" fillId="0" borderId="11" xfId="0" applyFont="1" applyBorder="1" applyAlignment="1">
      <alignment vertical="center"/>
    </xf>
    <xf numFmtId="178" fontId="1" fillId="0" borderId="0" xfId="0" applyNumberFormat="1" applyFont="1" applyAlignment="1">
      <alignment horizontal="center" vertical="center"/>
    </xf>
    <xf numFmtId="0" fontId="1" fillId="0" borderId="0" xfId="0" applyFont="1" applyAlignment="1">
      <alignment horizontal="distributed" vertical="center"/>
    </xf>
    <xf numFmtId="0" fontId="8"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center" vertic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vertical="center" shrinkToFit="1"/>
    </xf>
    <xf numFmtId="0" fontId="1" fillId="0" borderId="18"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shrinkToFit="1"/>
    </xf>
    <xf numFmtId="0" fontId="1" fillId="0" borderId="24" xfId="0" applyFont="1" applyBorder="1" applyAlignment="1">
      <alignment horizontal="center" vertical="center"/>
    </xf>
    <xf numFmtId="38" fontId="1" fillId="0" borderId="25" xfId="49" applyFont="1" applyBorder="1" applyAlignment="1">
      <alignment horizontal="righ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18" xfId="0" applyFont="1" applyBorder="1" applyAlignment="1">
      <alignment horizontal="right" vertical="center"/>
    </xf>
    <xf numFmtId="0" fontId="1" fillId="0" borderId="20" xfId="0" applyFont="1" applyBorder="1" applyAlignment="1">
      <alignment horizontal="right" vertical="center"/>
    </xf>
    <xf numFmtId="0" fontId="1" fillId="0" borderId="26" xfId="0" applyFont="1" applyBorder="1" applyAlignment="1">
      <alignment horizontal="center" vertical="center"/>
    </xf>
    <xf numFmtId="0" fontId="1" fillId="0" borderId="22" xfId="0" applyFont="1" applyBorder="1" applyAlignment="1">
      <alignment vertical="center"/>
    </xf>
    <xf numFmtId="0" fontId="1" fillId="0" borderId="24" xfId="0" applyFont="1" applyBorder="1" applyAlignment="1">
      <alignment vertical="center"/>
    </xf>
    <xf numFmtId="179" fontId="1" fillId="0" borderId="16" xfId="0" applyNumberFormat="1" applyFont="1" applyBorder="1" applyAlignment="1">
      <alignment vertical="center"/>
    </xf>
    <xf numFmtId="0" fontId="1" fillId="0" borderId="16" xfId="0" applyFont="1" applyBorder="1" applyAlignment="1">
      <alignment horizontal="center" vertical="center" shrinkToFit="1"/>
    </xf>
    <xf numFmtId="0" fontId="1" fillId="0" borderId="27" xfId="0" applyFont="1" applyBorder="1" applyAlignment="1">
      <alignment vertical="center"/>
    </xf>
    <xf numFmtId="0" fontId="1" fillId="0" borderId="28" xfId="0" applyFont="1" applyBorder="1" applyAlignment="1">
      <alignment vertical="center"/>
    </xf>
    <xf numFmtId="0" fontId="3" fillId="0" borderId="29" xfId="0" applyFont="1" applyBorder="1" applyAlignment="1" applyProtection="1">
      <alignment horizontal="center" vertical="center" shrinkToFit="1"/>
      <protection locked="0"/>
    </xf>
    <xf numFmtId="0" fontId="0" fillId="0" borderId="0" xfId="0" applyAlignment="1">
      <alignment horizontal="center"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5" fillId="24" borderId="37" xfId="0" applyFont="1" applyFill="1" applyBorder="1" applyAlignment="1">
      <alignment horizontal="center" vertical="center"/>
    </xf>
    <xf numFmtId="0" fontId="21" fillId="0" borderId="0" xfId="0" applyFont="1" applyAlignment="1">
      <alignment/>
    </xf>
    <xf numFmtId="0" fontId="0" fillId="0" borderId="38" xfId="0" applyBorder="1" applyAlignment="1">
      <alignment vertical="center"/>
    </xf>
    <xf numFmtId="0" fontId="0" fillId="0" borderId="34" xfId="0" applyBorder="1" applyAlignment="1">
      <alignment vertical="center"/>
    </xf>
    <xf numFmtId="185" fontId="0" fillId="0" borderId="39" xfId="0" applyNumberFormat="1" applyBorder="1" applyAlignment="1">
      <alignment vertical="center"/>
    </xf>
    <xf numFmtId="0" fontId="15" fillId="24" borderId="37" xfId="0" applyFont="1" applyFill="1" applyBorder="1" applyAlignment="1">
      <alignment vertical="center" shrinkToFit="1"/>
    </xf>
    <xf numFmtId="176" fontId="1" fillId="0" borderId="0" xfId="0" applyNumberFormat="1" applyFont="1" applyAlignment="1">
      <alignment horizontal="left" vertical="center"/>
    </xf>
    <xf numFmtId="0" fontId="16" fillId="0" borderId="0" xfId="0" applyFont="1" applyBorder="1" applyAlignment="1">
      <alignment/>
    </xf>
    <xf numFmtId="0" fontId="5" fillId="0" borderId="0" xfId="0" applyFont="1" applyAlignment="1">
      <alignment vertical="center"/>
    </xf>
    <xf numFmtId="0" fontId="0" fillId="0" borderId="35" xfId="0" applyBorder="1" applyAlignment="1">
      <alignment horizontal="center" vertical="center"/>
    </xf>
    <xf numFmtId="0" fontId="0" fillId="0" borderId="40" xfId="0"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0" fillId="0" borderId="40" xfId="0" applyFill="1" applyBorder="1" applyAlignment="1">
      <alignment horizontal="center" vertical="center"/>
    </xf>
    <xf numFmtId="0" fontId="15" fillId="0" borderId="36" xfId="0" applyFont="1" applyFill="1" applyBorder="1" applyAlignment="1">
      <alignment vertical="center"/>
    </xf>
    <xf numFmtId="0" fontId="0" fillId="0" borderId="35" xfId="0" applyFill="1" applyBorder="1" applyAlignment="1">
      <alignment horizontal="center" vertical="center"/>
    </xf>
    <xf numFmtId="0" fontId="0" fillId="0" borderId="0" xfId="0" applyFill="1" applyAlignment="1">
      <alignment vertical="center"/>
    </xf>
    <xf numFmtId="0" fontId="15" fillId="0" borderId="41" xfId="0" applyFont="1" applyFill="1" applyBorder="1" applyAlignment="1">
      <alignment vertical="center"/>
    </xf>
    <xf numFmtId="0" fontId="15" fillId="0" borderId="41" xfId="0" applyFont="1" applyFill="1" applyBorder="1" applyAlignment="1">
      <alignment vertical="center" shrinkToFit="1"/>
    </xf>
    <xf numFmtId="0" fontId="15" fillId="0" borderId="42" xfId="0" applyFont="1" applyFill="1" applyBorder="1" applyAlignment="1">
      <alignment vertical="center"/>
    </xf>
    <xf numFmtId="0" fontId="15" fillId="0" borderId="42" xfId="0" applyFont="1" applyFill="1" applyBorder="1" applyAlignment="1">
      <alignment vertical="center" shrinkToFit="1"/>
    </xf>
    <xf numFmtId="0" fontId="8" fillId="0"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0" borderId="0" xfId="0" applyFont="1" applyFill="1" applyAlignment="1">
      <alignment horizontal="center" vertical="center"/>
    </xf>
    <xf numFmtId="0" fontId="1" fillId="0" borderId="45" xfId="0" applyFont="1" applyFill="1" applyBorder="1" applyAlignment="1">
      <alignment vertical="center"/>
    </xf>
    <xf numFmtId="0" fontId="1" fillId="0" borderId="0" xfId="0" applyFont="1" applyFill="1" applyAlignment="1">
      <alignment vertical="center"/>
    </xf>
    <xf numFmtId="0" fontId="1" fillId="0" borderId="46" xfId="0" applyFont="1" applyFill="1" applyBorder="1" applyAlignment="1">
      <alignment vertical="center"/>
    </xf>
    <xf numFmtId="0" fontId="8" fillId="0" borderId="44" xfId="0" applyFont="1" applyFill="1" applyBorder="1" applyAlignment="1">
      <alignment horizontal="center" vertical="center"/>
    </xf>
    <xf numFmtId="0" fontId="1" fillId="0" borderId="0" xfId="0" applyFont="1" applyFill="1" applyBorder="1" applyAlignment="1">
      <alignment vertical="center"/>
    </xf>
    <xf numFmtId="0" fontId="1" fillId="0" borderId="47" xfId="0" applyFont="1" applyFill="1" applyBorder="1" applyAlignment="1">
      <alignment vertical="center"/>
    </xf>
    <xf numFmtId="0" fontId="1" fillId="0" borderId="48" xfId="0" applyFont="1" applyFill="1" applyBorder="1" applyAlignment="1">
      <alignment vertical="center"/>
    </xf>
    <xf numFmtId="0" fontId="1" fillId="0" borderId="49" xfId="0" applyFont="1" applyFill="1" applyBorder="1" applyAlignment="1">
      <alignment vertical="center"/>
    </xf>
    <xf numFmtId="0" fontId="17" fillId="24" borderId="50" xfId="0" applyFont="1" applyFill="1" applyBorder="1" applyAlignment="1">
      <alignment vertical="center"/>
    </xf>
    <xf numFmtId="0" fontId="15" fillId="24" borderId="50" xfId="0" applyFont="1" applyFill="1" applyBorder="1" applyAlignment="1">
      <alignment vertical="center"/>
    </xf>
    <xf numFmtId="0" fontId="15" fillId="24" borderId="51" xfId="0" applyFont="1" applyFill="1" applyBorder="1" applyAlignment="1">
      <alignment vertical="center"/>
    </xf>
    <xf numFmtId="0" fontId="27" fillId="0" borderId="0" xfId="0" applyFont="1" applyAlignment="1">
      <alignment horizontal="left" vertical="center"/>
    </xf>
    <xf numFmtId="0" fontId="17" fillId="0" borderId="0" xfId="0" applyFont="1" applyAlignment="1">
      <alignment vertical="center"/>
    </xf>
    <xf numFmtId="0" fontId="1" fillId="0" borderId="22" xfId="0" applyFont="1" applyBorder="1" applyAlignment="1">
      <alignment horizontal="center" vertical="center" shrinkToFit="1"/>
    </xf>
    <xf numFmtId="0" fontId="5" fillId="0" borderId="0" xfId="0" applyFont="1" applyBorder="1" applyAlignment="1">
      <alignment vertical="center"/>
    </xf>
    <xf numFmtId="0" fontId="5"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right" vertical="center"/>
    </xf>
    <xf numFmtId="0" fontId="6" fillId="0" borderId="52" xfId="0" applyFont="1" applyFill="1" applyBorder="1" applyAlignment="1">
      <alignment/>
    </xf>
    <xf numFmtId="0" fontId="6" fillId="0" borderId="53" xfId="0" applyFont="1" applyFill="1" applyBorder="1" applyAlignment="1">
      <alignment/>
    </xf>
    <xf numFmtId="0" fontId="6" fillId="0" borderId="43" xfId="0" applyFont="1" applyFill="1" applyBorder="1" applyAlignment="1">
      <alignment/>
    </xf>
    <xf numFmtId="0" fontId="6" fillId="0" borderId="44" xfId="0" applyFont="1" applyFill="1" applyBorder="1" applyAlignment="1">
      <alignment/>
    </xf>
    <xf numFmtId="0" fontId="6" fillId="0" borderId="0" xfId="0" applyFont="1" applyAlignment="1">
      <alignment horizontal="center" vertical="center" wrapText="1"/>
    </xf>
    <xf numFmtId="0" fontId="6" fillId="0" borderId="0" xfId="0" applyFont="1" applyAlignment="1">
      <alignment vertical="center" wrapText="1"/>
    </xf>
    <xf numFmtId="0" fontId="29" fillId="0" borderId="0" xfId="0" applyFont="1" applyAlignment="1">
      <alignment vertical="center" wrapText="1"/>
    </xf>
    <xf numFmtId="0" fontId="6" fillId="0" borderId="0" xfId="0" applyFont="1" applyAlignment="1">
      <alignment vertical="center" wrapText="1" shrinkToFit="1"/>
    </xf>
    <xf numFmtId="0" fontId="30" fillId="25" borderId="54" xfId="0" applyFont="1" applyFill="1" applyBorder="1" applyAlignment="1">
      <alignment horizontal="center" vertical="center"/>
    </xf>
    <xf numFmtId="0" fontId="30" fillId="25" borderId="55" xfId="0" applyFont="1" applyFill="1" applyBorder="1" applyAlignment="1">
      <alignment horizontal="center" vertical="center"/>
    </xf>
    <xf numFmtId="0" fontId="6" fillId="0" borderId="0" xfId="0" applyFont="1" applyAlignment="1">
      <alignment vertical="center"/>
    </xf>
    <xf numFmtId="49" fontId="6" fillId="0" borderId="56" xfId="0" applyNumberFormat="1" applyFont="1" applyBorder="1" applyAlignment="1">
      <alignment vertical="center"/>
    </xf>
    <xf numFmtId="0" fontId="6" fillId="0" borderId="57" xfId="0" applyFont="1" applyBorder="1" applyAlignment="1">
      <alignment vertical="center"/>
    </xf>
    <xf numFmtId="49" fontId="6" fillId="0" borderId="58" xfId="0" applyNumberFormat="1"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8" borderId="44" xfId="0" applyFont="1" applyFill="1" applyBorder="1" applyAlignment="1">
      <alignment vertical="center" wrapText="1"/>
    </xf>
    <xf numFmtId="0" fontId="6" fillId="0" borderId="0" xfId="0" applyFont="1" applyAlignment="1">
      <alignment vertical="center"/>
    </xf>
    <xf numFmtId="0" fontId="5" fillId="25" borderId="43"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6" fillId="0" borderId="44" xfId="0" applyFont="1" applyBorder="1" applyAlignment="1">
      <alignment vertical="center"/>
    </xf>
    <xf numFmtId="178" fontId="5" fillId="0" borderId="44" xfId="0" applyNumberFormat="1" applyFont="1" applyBorder="1" applyAlignment="1" applyProtection="1">
      <alignment vertical="center"/>
      <protection locked="0"/>
    </xf>
    <xf numFmtId="178" fontId="5" fillId="0" borderId="52" xfId="0" applyNumberFormat="1" applyFont="1" applyBorder="1" applyAlignment="1" applyProtection="1">
      <alignment vertical="center"/>
      <protection locked="0"/>
    </xf>
    <xf numFmtId="0" fontId="5" fillId="0" borderId="52"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5" fillId="0" borderId="62" xfId="0" applyFont="1" applyBorder="1" applyAlignment="1" applyProtection="1">
      <alignment vertical="center" wrapText="1" shrinkToFit="1"/>
      <protection locked="0"/>
    </xf>
    <xf numFmtId="0" fontId="5" fillId="0" borderId="52" xfId="0" applyFont="1" applyBorder="1" applyAlignment="1" applyProtection="1">
      <alignment vertical="center" wrapText="1" shrinkToFit="1"/>
      <protection locked="0"/>
    </xf>
    <xf numFmtId="38" fontId="5" fillId="0" borderId="52" xfId="49" applyFont="1" applyBorder="1" applyAlignment="1" applyProtection="1">
      <alignment vertical="center"/>
      <protection locked="0"/>
    </xf>
    <xf numFmtId="58" fontId="5" fillId="0" borderId="53" xfId="0" applyNumberFormat="1" applyFont="1" applyBorder="1" applyAlignment="1" applyProtection="1">
      <alignment vertical="center"/>
      <protection locked="0"/>
    </xf>
    <xf numFmtId="38" fontId="5" fillId="0" borderId="52" xfId="0" applyNumberFormat="1" applyFont="1" applyBorder="1" applyAlignment="1" applyProtection="1">
      <alignment vertical="center" wrapText="1" shrinkToFit="1"/>
      <protection locked="0"/>
    </xf>
    <xf numFmtId="38" fontId="5" fillId="0" borderId="52" xfId="0" applyNumberFormat="1" applyFont="1" applyBorder="1" applyAlignment="1" applyProtection="1">
      <alignment vertical="center"/>
      <protection locked="0"/>
    </xf>
    <xf numFmtId="0" fontId="5" fillId="0" borderId="44" xfId="0" applyFont="1" applyBorder="1" applyAlignment="1">
      <alignment vertical="center"/>
    </xf>
    <xf numFmtId="0" fontId="5" fillId="0" borderId="52" xfId="0" applyFont="1" applyBorder="1" applyAlignment="1">
      <alignment vertical="center"/>
    </xf>
    <xf numFmtId="0" fontId="5" fillId="0" borderId="62" xfId="0" applyFont="1" applyBorder="1" applyAlignment="1">
      <alignment vertical="center"/>
    </xf>
    <xf numFmtId="0" fontId="5" fillId="0" borderId="53" xfId="0" applyFont="1" applyBorder="1" applyAlignment="1">
      <alignment vertical="center"/>
    </xf>
    <xf numFmtId="0" fontId="5" fillId="0" borderId="62" xfId="0" applyFont="1" applyBorder="1" applyAlignment="1" applyProtection="1">
      <alignment vertical="center"/>
      <protection/>
    </xf>
    <xf numFmtId="0" fontId="5" fillId="0" borderId="52" xfId="0" applyFont="1" applyBorder="1" applyAlignment="1" applyProtection="1">
      <alignment vertical="center"/>
      <protection/>
    </xf>
    <xf numFmtId="38" fontId="5" fillId="0" borderId="52" xfId="0" applyNumberFormat="1" applyFont="1" applyBorder="1" applyAlignment="1">
      <alignment vertical="center"/>
    </xf>
    <xf numFmtId="0" fontId="5" fillId="0" borderId="52" xfId="0" applyNumberFormat="1" applyFont="1" applyBorder="1" applyAlignment="1">
      <alignment vertical="center"/>
    </xf>
    <xf numFmtId="0" fontId="5" fillId="0" borderId="52" xfId="49" applyNumberFormat="1" applyFont="1" applyBorder="1" applyAlignment="1" applyProtection="1">
      <alignment vertical="center"/>
      <protection locked="0"/>
    </xf>
    <xf numFmtId="0" fontId="1" fillId="0" borderId="63" xfId="0" applyFont="1" applyFill="1" applyBorder="1" applyAlignment="1">
      <alignment vertical="center"/>
    </xf>
    <xf numFmtId="0" fontId="1" fillId="0" borderId="64" xfId="0" applyFont="1" applyFill="1" applyBorder="1" applyAlignment="1">
      <alignment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6" fillId="0" borderId="62" xfId="0" applyFont="1" applyFill="1" applyBorder="1" applyAlignment="1">
      <alignment/>
    </xf>
    <xf numFmtId="178" fontId="5" fillId="0" borderId="52" xfId="0" applyNumberFormat="1" applyFont="1" applyBorder="1" applyAlignment="1">
      <alignment vertical="center"/>
    </xf>
    <xf numFmtId="22" fontId="5" fillId="0" borderId="52" xfId="0" applyNumberFormat="1" applyFont="1" applyBorder="1" applyAlignment="1">
      <alignment vertical="center"/>
    </xf>
    <xf numFmtId="0" fontId="30" fillId="25" borderId="68" xfId="0" applyFont="1" applyFill="1" applyBorder="1" applyAlignment="1">
      <alignment horizontal="center" vertical="center"/>
    </xf>
    <xf numFmtId="178" fontId="6" fillId="0" borderId="0" xfId="0" applyNumberFormat="1" applyFont="1" applyAlignment="1">
      <alignment vertical="center"/>
    </xf>
    <xf numFmtId="0" fontId="6" fillId="4" borderId="59" xfId="0" applyFont="1" applyFill="1" applyBorder="1" applyAlignment="1">
      <alignment vertical="center"/>
    </xf>
    <xf numFmtId="0" fontId="6" fillId="0" borderId="69" xfId="0" applyFont="1" applyFill="1" applyBorder="1" applyAlignment="1">
      <alignment vertical="center"/>
    </xf>
    <xf numFmtId="0" fontId="28" fillId="0" borderId="47" xfId="0" applyFont="1" applyFill="1" applyBorder="1" applyAlignment="1">
      <alignment vertical="center"/>
    </xf>
    <xf numFmtId="0" fontId="6" fillId="0" borderId="46" xfId="0" applyFont="1" applyFill="1" applyBorder="1" applyAlignment="1">
      <alignment vertical="center"/>
    </xf>
    <xf numFmtId="0" fontId="6" fillId="0" borderId="48" xfId="0" applyFont="1" applyFill="1" applyBorder="1" applyAlignment="1">
      <alignment vertical="center"/>
    </xf>
    <xf numFmtId="0" fontId="28" fillId="0" borderId="48" xfId="0" applyFont="1" applyFill="1" applyBorder="1" applyAlignment="1">
      <alignment vertical="center"/>
    </xf>
    <xf numFmtId="0" fontId="6" fillId="0" borderId="70" xfId="0" applyFont="1" applyFill="1" applyBorder="1" applyAlignment="1">
      <alignment vertical="center"/>
    </xf>
    <xf numFmtId="0" fontId="6" fillId="0" borderId="71" xfId="0" applyFont="1" applyFill="1" applyBorder="1" applyAlignment="1">
      <alignment vertical="center"/>
    </xf>
    <xf numFmtId="0" fontId="30" fillId="25" borderId="72" xfId="0" applyFont="1" applyFill="1" applyBorder="1" applyAlignment="1">
      <alignment horizontal="center" vertical="center"/>
    </xf>
    <xf numFmtId="0" fontId="15" fillId="24" borderId="73" xfId="0" applyFont="1" applyFill="1" applyBorder="1" applyAlignment="1">
      <alignment horizontal="center" vertical="center" textRotation="255"/>
    </xf>
    <xf numFmtId="0" fontId="6" fillId="0" borderId="59" xfId="0" applyFont="1" applyBorder="1" applyAlignment="1" applyProtection="1">
      <alignment vertical="center"/>
      <protection locked="0"/>
    </xf>
    <xf numFmtId="0" fontId="28" fillId="0" borderId="0" xfId="0" applyFont="1" applyFill="1" applyBorder="1" applyAlignment="1">
      <alignment vertical="center"/>
    </xf>
    <xf numFmtId="0" fontId="6"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Alignment="1">
      <alignment horizontal="center" vertical="center"/>
    </xf>
    <xf numFmtId="0" fontId="28"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5" fillId="0" borderId="74" xfId="0" applyFont="1" applyBorder="1" applyAlignment="1">
      <alignment horizontal="center" vertical="center"/>
    </xf>
    <xf numFmtId="0" fontId="5" fillId="0" borderId="0" xfId="0" applyFont="1" applyBorder="1" applyAlignment="1">
      <alignment vertical="center"/>
    </xf>
    <xf numFmtId="0" fontId="5" fillId="0" borderId="75" xfId="0" applyFont="1" applyBorder="1" applyAlignment="1">
      <alignment horizontal="center" vertical="center"/>
    </xf>
    <xf numFmtId="187" fontId="5" fillId="0" borderId="76" xfId="0" applyNumberFormat="1" applyFont="1" applyBorder="1" applyAlignment="1">
      <alignment horizontal="center" vertical="center"/>
    </xf>
    <xf numFmtId="0" fontId="5" fillId="0" borderId="76" xfId="0" applyFont="1" applyBorder="1" applyAlignment="1">
      <alignment horizontal="right" vertical="center"/>
    </xf>
    <xf numFmtId="0" fontId="5" fillId="0" borderId="77" xfId="0" applyFont="1" applyBorder="1" applyAlignment="1">
      <alignment horizontal="right" vertical="center"/>
    </xf>
    <xf numFmtId="188" fontId="5" fillId="25" borderId="43" xfId="0" applyNumberFormat="1" applyFont="1" applyFill="1" applyBorder="1" applyAlignment="1">
      <alignment horizontal="center" vertical="center" wrapText="1"/>
    </xf>
    <xf numFmtId="188" fontId="6" fillId="0" borderId="0" xfId="0" applyNumberFormat="1" applyFont="1" applyAlignment="1">
      <alignment vertical="center" wrapText="1"/>
    </xf>
    <xf numFmtId="0" fontId="1" fillId="0" borderId="0" xfId="0" applyFont="1" applyAlignment="1">
      <alignment vertical="center" wrapText="1" shrinkToFit="1"/>
    </xf>
    <xf numFmtId="0" fontId="5" fillId="0" borderId="11" xfId="0" applyFont="1" applyBorder="1" applyAlignment="1">
      <alignment horizontal="left" vertical="center"/>
    </xf>
    <xf numFmtId="0" fontId="5" fillId="0" borderId="11" xfId="0" applyFont="1" applyBorder="1" applyAlignment="1">
      <alignment horizontal="left" vertical="center" wrapText="1"/>
    </xf>
    <xf numFmtId="0" fontId="5" fillId="0" borderId="78" xfId="0" applyFont="1" applyBorder="1" applyAlignment="1">
      <alignment horizontal="right" vertical="center"/>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0" fillId="0" borderId="0" xfId="0" applyFill="1" applyBorder="1" applyAlignment="1">
      <alignment vertical="center"/>
    </xf>
    <xf numFmtId="58" fontId="29" fillId="25" borderId="43" xfId="0" applyNumberFormat="1" applyFont="1" applyFill="1" applyBorder="1" applyAlignment="1">
      <alignment horizontal="center" vertical="center" wrapText="1"/>
    </xf>
    <xf numFmtId="58" fontId="32" fillId="0" borderId="0" xfId="0" applyNumberFormat="1" applyFont="1" applyAlignment="1">
      <alignment vertical="center" wrapText="1"/>
    </xf>
    <xf numFmtId="0" fontId="0" fillId="0" borderId="0" xfId="0" applyFont="1" applyAlignment="1">
      <alignment vertical="center"/>
    </xf>
    <xf numFmtId="0" fontId="0" fillId="22" borderId="81" xfId="0" applyFill="1" applyBorder="1" applyAlignment="1" applyProtection="1">
      <alignment horizontal="center" vertical="center"/>
      <protection locked="0"/>
    </xf>
    <xf numFmtId="186" fontId="1" fillId="22" borderId="0" xfId="0" applyNumberFormat="1" applyFont="1" applyFill="1" applyAlignment="1" applyProtection="1">
      <alignment vertical="center"/>
      <protection locked="0"/>
    </xf>
    <xf numFmtId="0" fontId="0" fillId="22" borderId="38" xfId="0" applyFill="1" applyBorder="1" applyAlignment="1" applyProtection="1">
      <alignment horizontal="center" vertical="center"/>
      <protection locked="0"/>
    </xf>
    <xf numFmtId="0" fontId="36" fillId="0" borderId="0" xfId="0" applyFont="1" applyAlignment="1">
      <alignment vertical="center"/>
    </xf>
    <xf numFmtId="0" fontId="37" fillId="0" borderId="0" xfId="0" applyFont="1" applyAlignment="1">
      <alignment vertical="center"/>
    </xf>
    <xf numFmtId="0" fontId="24" fillId="0" borderId="0" xfId="0" applyFont="1" applyAlignment="1">
      <alignment vertical="center"/>
    </xf>
    <xf numFmtId="0" fontId="37" fillId="0" borderId="0" xfId="0" applyFont="1" applyAlignment="1">
      <alignment vertical="center"/>
    </xf>
    <xf numFmtId="0" fontId="24" fillId="0" borderId="0" xfId="0" applyFont="1" applyAlignment="1">
      <alignment vertical="center"/>
    </xf>
    <xf numFmtId="0" fontId="37" fillId="0" borderId="0" xfId="0" applyFont="1" applyFill="1" applyAlignment="1">
      <alignment vertical="center"/>
    </xf>
    <xf numFmtId="0" fontId="24" fillId="0" borderId="0" xfId="0" applyFont="1" applyFill="1" applyAlignment="1">
      <alignment vertical="center"/>
    </xf>
    <xf numFmtId="0" fontId="38" fillId="0" borderId="0" xfId="0" applyFont="1" applyAlignment="1">
      <alignment vertical="center"/>
    </xf>
    <xf numFmtId="0" fontId="38" fillId="0" borderId="0" xfId="0" applyFont="1" applyAlignment="1">
      <alignment vertical="center"/>
    </xf>
    <xf numFmtId="0" fontId="38" fillId="0" borderId="0" xfId="0" applyFont="1" applyFill="1" applyAlignment="1">
      <alignment vertical="center"/>
    </xf>
    <xf numFmtId="0" fontId="38" fillId="0" borderId="0" xfId="0" applyFont="1" applyBorder="1" applyAlignment="1">
      <alignment vertical="center"/>
    </xf>
    <xf numFmtId="0" fontId="38" fillId="0" borderId="0" xfId="0" applyFont="1" applyFill="1" applyAlignme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15" fillId="0" borderId="25" xfId="0" applyFont="1" applyBorder="1" applyAlignment="1">
      <alignment vertical="center"/>
    </xf>
    <xf numFmtId="0" fontId="15" fillId="0" borderId="23" xfId="0" applyFont="1" applyBorder="1" applyAlignment="1">
      <alignment vertical="center"/>
    </xf>
    <xf numFmtId="0" fontId="15" fillId="0" borderId="82" xfId="0" applyFont="1" applyBorder="1" applyAlignment="1">
      <alignment vertical="center"/>
    </xf>
    <xf numFmtId="0" fontId="15" fillId="0" borderId="83" xfId="0" applyFont="1" applyBorder="1" applyAlignment="1">
      <alignment vertical="center"/>
    </xf>
    <xf numFmtId="0" fontId="15" fillId="0" borderId="84" xfId="0" applyFont="1" applyBorder="1" applyAlignment="1">
      <alignment vertical="center"/>
    </xf>
    <xf numFmtId="0" fontId="15" fillId="0" borderId="85"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86" xfId="0" applyFont="1" applyBorder="1" applyAlignment="1">
      <alignment vertical="center"/>
    </xf>
    <xf numFmtId="0" fontId="15" fillId="0" borderId="87" xfId="0" applyFont="1" applyBorder="1" applyAlignment="1">
      <alignment vertical="center"/>
    </xf>
    <xf numFmtId="0" fontId="3" fillId="0" borderId="0" xfId="0" applyFont="1" applyAlignment="1">
      <alignment horizontal="left" vertical="center"/>
    </xf>
    <xf numFmtId="0" fontId="5" fillId="0" borderId="69" xfId="0" applyFont="1" applyBorder="1" applyAlignment="1">
      <alignment horizontal="center" vertical="center"/>
    </xf>
    <xf numFmtId="0" fontId="5" fillId="0" borderId="25" xfId="0" applyFont="1" applyBorder="1" applyAlignment="1">
      <alignment horizontal="center" vertical="center"/>
    </xf>
    <xf numFmtId="0" fontId="5" fillId="0" borderId="88"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left" vertical="center"/>
    </xf>
    <xf numFmtId="0" fontId="5" fillId="0" borderId="91" xfId="0" applyFont="1" applyBorder="1" applyAlignment="1">
      <alignment horizontal="center" vertical="center" shrinkToFit="1"/>
    </xf>
    <xf numFmtId="38" fontId="1" fillId="0" borderId="0" xfId="49" applyFont="1" applyAlignment="1">
      <alignment vertical="center"/>
    </xf>
    <xf numFmtId="38" fontId="1" fillId="0" borderId="0" xfId="49" applyFont="1" applyBorder="1" applyAlignment="1">
      <alignment horizontal="center" vertical="center"/>
    </xf>
    <xf numFmtId="38" fontId="1" fillId="0" borderId="0" xfId="49" applyFont="1" applyAlignment="1">
      <alignment vertical="center"/>
    </xf>
    <xf numFmtId="38" fontId="1" fillId="0" borderId="0" xfId="49" applyFont="1" applyBorder="1" applyAlignment="1">
      <alignment vertical="center"/>
    </xf>
    <xf numFmtId="38" fontId="5" fillId="0" borderId="0" xfId="49" applyFont="1" applyBorder="1" applyAlignment="1">
      <alignment vertical="center"/>
    </xf>
    <xf numFmtId="38" fontId="1" fillId="0" borderId="0" xfId="49" applyFont="1" applyBorder="1" applyAlignment="1">
      <alignment vertical="center"/>
    </xf>
    <xf numFmtId="38" fontId="5" fillId="0" borderId="0" xfId="49" applyFont="1" applyAlignment="1">
      <alignment vertical="center"/>
    </xf>
    <xf numFmtId="38" fontId="1" fillId="0" borderId="0" xfId="0" applyNumberFormat="1" applyFont="1" applyAlignment="1">
      <alignment vertical="center"/>
    </xf>
    <xf numFmtId="191" fontId="5" fillId="0" borderId="20" xfId="0" applyNumberFormat="1" applyFont="1" applyBorder="1" applyAlignment="1">
      <alignment horizontal="center" vertical="center"/>
    </xf>
    <xf numFmtId="0" fontId="9" fillId="25" borderId="92" xfId="0" applyFont="1" applyFill="1" applyBorder="1" applyAlignment="1">
      <alignment horizontal="center" vertical="center"/>
    </xf>
    <xf numFmtId="0" fontId="0" fillId="0" borderId="93" xfId="0" applyFill="1" applyBorder="1" applyAlignment="1">
      <alignment vertical="center"/>
    </xf>
    <xf numFmtId="0" fontId="0" fillId="0" borderId="93" xfId="0" applyFont="1" applyFill="1" applyBorder="1" applyAlignment="1">
      <alignment vertical="center"/>
    </xf>
    <xf numFmtId="0" fontId="0" fillId="0" borderId="94" xfId="0" applyFill="1" applyBorder="1" applyAlignment="1">
      <alignment vertical="center"/>
    </xf>
    <xf numFmtId="0" fontId="8" fillId="4" borderId="95" xfId="0" applyFont="1" applyFill="1" applyBorder="1" applyAlignment="1">
      <alignment horizontal="center" vertical="center"/>
    </xf>
    <xf numFmtId="0" fontId="1" fillId="0" borderId="96" xfId="0" applyFont="1" applyFill="1" applyBorder="1" applyAlignment="1">
      <alignment vertical="center"/>
    </xf>
    <xf numFmtId="0" fontId="1" fillId="0" borderId="97" xfId="0" applyFont="1" applyFill="1" applyBorder="1" applyAlignment="1">
      <alignment vertical="center"/>
    </xf>
    <xf numFmtId="0" fontId="1" fillId="0" borderId="57" xfId="0" applyFont="1" applyFill="1" applyBorder="1" applyAlignment="1">
      <alignment vertical="center"/>
    </xf>
    <xf numFmtId="0" fontId="1" fillId="0" borderId="59" xfId="0" applyFont="1" applyFill="1" applyBorder="1" applyAlignment="1">
      <alignment vertical="center"/>
    </xf>
    <xf numFmtId="0" fontId="1" fillId="0" borderId="52" xfId="0" applyFont="1" applyFill="1" applyBorder="1" applyAlignment="1">
      <alignment vertical="center"/>
    </xf>
    <xf numFmtId="0" fontId="1" fillId="0" borderId="98" xfId="0" applyFont="1" applyFill="1" applyBorder="1" applyAlignment="1">
      <alignment vertical="center"/>
    </xf>
    <xf numFmtId="49" fontId="6" fillId="4" borderId="58" xfId="0" applyNumberFormat="1" applyFont="1" applyFill="1" applyBorder="1" applyAlignment="1">
      <alignment vertical="center"/>
    </xf>
    <xf numFmtId="0" fontId="6" fillId="4" borderId="46" xfId="0" applyFont="1" applyFill="1" applyBorder="1" applyAlignment="1">
      <alignment vertical="center"/>
    </xf>
    <xf numFmtId="0" fontId="6" fillId="4" borderId="48" xfId="0" applyFont="1" applyFill="1" applyBorder="1" applyAlignment="1">
      <alignment vertical="center"/>
    </xf>
    <xf numFmtId="0" fontId="41" fillId="25" borderId="43" xfId="0" applyFont="1" applyFill="1" applyBorder="1" applyAlignment="1">
      <alignment horizontal="center" vertical="center" wrapText="1"/>
    </xf>
    <xf numFmtId="0" fontId="42" fillId="0" borderId="0" xfId="0" applyFont="1" applyAlignment="1">
      <alignment vertical="center" wrapText="1"/>
    </xf>
    <xf numFmtId="0" fontId="5" fillId="0" borderId="44" xfId="0" applyNumberFormat="1" applyFont="1" applyBorder="1" applyAlignment="1">
      <alignment vertical="center"/>
    </xf>
    <xf numFmtId="0" fontId="6" fillId="0" borderId="10" xfId="0" applyFont="1" applyBorder="1" applyAlignment="1">
      <alignment vertical="center" wrapText="1"/>
    </xf>
    <xf numFmtId="0" fontId="5" fillId="0" borderId="53" xfId="0" applyNumberFormat="1" applyFont="1" applyBorder="1" applyAlignment="1">
      <alignment vertical="center"/>
    </xf>
    <xf numFmtId="186" fontId="0" fillId="22" borderId="81" xfId="0" applyNumberFormat="1" applyFill="1" applyBorder="1" applyAlignment="1" applyProtection="1">
      <alignment vertical="center"/>
      <protection locked="0"/>
    </xf>
    <xf numFmtId="0" fontId="5" fillId="0" borderId="69" xfId="0" applyFont="1" applyBorder="1" applyAlignment="1">
      <alignment horizontal="center" vertical="center" shrinkToFit="1"/>
    </xf>
    <xf numFmtId="0" fontId="5" fillId="0" borderId="89" xfId="0" applyFont="1" applyBorder="1" applyAlignment="1">
      <alignment horizontal="center" vertical="center" shrinkToFit="1"/>
    </xf>
    <xf numFmtId="0" fontId="1" fillId="0" borderId="0" xfId="0" applyFont="1" applyAlignment="1">
      <alignment vertical="center" shrinkToFit="1"/>
    </xf>
    <xf numFmtId="0" fontId="0" fillId="0" borderId="0" xfId="0" applyAlignment="1">
      <alignment vertical="center" shrinkToFit="1"/>
    </xf>
    <xf numFmtId="0" fontId="1" fillId="0" borderId="17"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3" xfId="0" applyFont="1" applyBorder="1" applyAlignment="1">
      <alignment horizontal="center" vertical="center" shrinkToFit="1"/>
    </xf>
    <xf numFmtId="191" fontId="5" fillId="0" borderId="20" xfId="0" applyNumberFormat="1"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7" xfId="0" applyFont="1" applyBorder="1" applyAlignment="1">
      <alignment horizontal="right" vertical="center" shrinkToFit="1"/>
    </xf>
    <xf numFmtId="0" fontId="5" fillId="0" borderId="76" xfId="0" applyFont="1" applyBorder="1" applyAlignment="1">
      <alignment horizontal="right" vertical="center" shrinkToFit="1"/>
    </xf>
    <xf numFmtId="187" fontId="5" fillId="0" borderId="76" xfId="0" applyNumberFormat="1"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8" xfId="0" applyFont="1" applyBorder="1" applyAlignment="1">
      <alignment horizontal="right" vertical="center" shrinkToFit="1"/>
    </xf>
    <xf numFmtId="0" fontId="5" fillId="0" borderId="7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0" xfId="0" applyFont="1" applyBorder="1" applyAlignment="1">
      <alignment horizontal="center" vertical="center" shrinkToFit="1"/>
    </xf>
    <xf numFmtId="0" fontId="1" fillId="0" borderId="0" xfId="0" applyFont="1" applyBorder="1" applyAlignment="1">
      <alignment vertical="center" shrinkToFit="1"/>
    </xf>
    <xf numFmtId="0" fontId="5" fillId="0" borderId="57" xfId="0" applyFont="1" applyBorder="1" applyAlignment="1">
      <alignment horizontal="center" vertical="center" shrinkToFit="1"/>
    </xf>
    <xf numFmtId="0" fontId="10" fillId="0" borderId="0" xfId="0" applyFont="1" applyAlignment="1">
      <alignment vertical="center" shrinkToFit="1"/>
    </xf>
    <xf numFmtId="0" fontId="11" fillId="0" borderId="0" xfId="0" applyFont="1" applyAlignment="1">
      <alignment horizontal="right" shrinkToFit="1"/>
    </xf>
    <xf numFmtId="0" fontId="33" fillId="0" borderId="0" xfId="0" applyFont="1" applyAlignment="1">
      <alignment horizontal="right" shrinkToFit="1"/>
    </xf>
    <xf numFmtId="0" fontId="1" fillId="0" borderId="101" xfId="0" applyFont="1" applyBorder="1" applyAlignment="1">
      <alignment vertical="center" shrinkToFit="1"/>
    </xf>
    <xf numFmtId="0" fontId="1" fillId="0" borderId="29" xfId="0" applyFont="1" applyBorder="1" applyAlignment="1">
      <alignment vertical="center" shrinkToFit="1"/>
    </xf>
    <xf numFmtId="0" fontId="1" fillId="0" borderId="29"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6" fillId="26" borderId="59" xfId="0" applyFont="1" applyFill="1" applyBorder="1" applyAlignment="1">
      <alignment vertical="center"/>
    </xf>
    <xf numFmtId="0" fontId="61" fillId="0" borderId="0" xfId="0" applyFont="1" applyAlignment="1">
      <alignment vertical="center"/>
    </xf>
    <xf numFmtId="0" fontId="63" fillId="0" borderId="0" xfId="0" applyFont="1" applyBorder="1" applyAlignment="1">
      <alignment horizontal="center" vertical="center"/>
    </xf>
    <xf numFmtId="0" fontId="23" fillId="0" borderId="0" xfId="0" applyFont="1" applyBorder="1" applyAlignment="1">
      <alignment horizontal="left" vertical="center"/>
    </xf>
    <xf numFmtId="0" fontId="68" fillId="0" borderId="0" xfId="0" applyFont="1" applyAlignment="1">
      <alignment vertical="center"/>
    </xf>
    <xf numFmtId="192" fontId="1" fillId="0" borderId="0" xfId="0" applyNumberFormat="1" applyFont="1" applyAlignment="1">
      <alignment vertical="center"/>
    </xf>
    <xf numFmtId="0" fontId="15" fillId="0" borderId="0"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15" fillId="0" borderId="0" xfId="0" applyFont="1" applyFill="1" applyBorder="1" applyAlignment="1">
      <alignment horizontal="center" vertical="center" textRotation="255"/>
    </xf>
    <xf numFmtId="0" fontId="0" fillId="0" borderId="0" xfId="0" applyFill="1" applyBorder="1" applyAlignment="1" applyProtection="1">
      <alignment vertical="center" wrapText="1" shrinkToFit="1"/>
      <protection locked="0"/>
    </xf>
    <xf numFmtId="0" fontId="0" fillId="0" borderId="103" xfId="0" applyBorder="1" applyAlignment="1">
      <alignment horizontal="center" vertical="center"/>
    </xf>
    <xf numFmtId="0" fontId="0" fillId="0" borderId="33" xfId="0" applyBorder="1" applyAlignment="1">
      <alignment horizontal="center" vertical="center"/>
    </xf>
    <xf numFmtId="0" fontId="0" fillId="0" borderId="104" xfId="0" applyBorder="1" applyAlignment="1">
      <alignment horizontal="center" vertical="center"/>
    </xf>
    <xf numFmtId="0" fontId="0" fillId="0" borderId="42" xfId="0" applyBorder="1" applyAlignment="1">
      <alignment horizontal="center" vertical="center"/>
    </xf>
    <xf numFmtId="0" fontId="0" fillId="0" borderId="105" xfId="0" applyBorder="1" applyAlignment="1">
      <alignment horizontal="center" vertical="center"/>
    </xf>
    <xf numFmtId="0" fontId="15" fillId="24" borderId="106" xfId="0" applyFont="1" applyFill="1" applyBorder="1" applyAlignment="1">
      <alignment horizontal="center" vertical="center"/>
    </xf>
    <xf numFmtId="0" fontId="15" fillId="24" borderId="107" xfId="0" applyFont="1" applyFill="1" applyBorder="1" applyAlignment="1">
      <alignment horizontal="center" vertical="center"/>
    </xf>
    <xf numFmtId="0" fontId="0" fillId="22" borderId="33" xfId="0" applyFill="1" applyBorder="1" applyAlignment="1" applyProtection="1">
      <alignment horizontal="center" vertical="center"/>
      <protection locked="0"/>
    </xf>
    <xf numFmtId="0" fontId="0" fillId="22" borderId="42" xfId="0" applyFill="1" applyBorder="1" applyAlignment="1" applyProtection="1">
      <alignment horizontal="center" vertical="center"/>
      <protection locked="0"/>
    </xf>
    <xf numFmtId="0" fontId="0" fillId="22" borderId="108" xfId="0" applyFill="1" applyBorder="1" applyAlignment="1" applyProtection="1">
      <alignment horizontal="center" vertical="center"/>
      <protection locked="0"/>
    </xf>
    <xf numFmtId="0" fontId="19" fillId="0" borderId="0" xfId="0" applyFont="1" applyAlignment="1">
      <alignment/>
    </xf>
    <xf numFmtId="0" fontId="0" fillId="22" borderId="36" xfId="0" applyFill="1" applyBorder="1" applyAlignment="1" applyProtection="1">
      <alignment horizontal="center" vertical="center"/>
      <protection locked="0"/>
    </xf>
    <xf numFmtId="0" fontId="15" fillId="0" borderId="42" xfId="0" applyFont="1" applyFill="1" applyBorder="1" applyAlignment="1">
      <alignment horizontal="center" vertical="center"/>
    </xf>
    <xf numFmtId="0" fontId="0" fillId="22" borderId="109" xfId="0" applyFill="1" applyBorder="1" applyAlignment="1" applyProtection="1">
      <alignment horizontal="center" vertical="center"/>
      <protection locked="0"/>
    </xf>
    <xf numFmtId="0" fontId="0" fillId="22" borderId="110" xfId="0" applyFill="1" applyBorder="1" applyAlignment="1" applyProtection="1">
      <alignment horizontal="center" vertical="center"/>
      <protection locked="0"/>
    </xf>
    <xf numFmtId="0" fontId="0" fillId="22" borderId="111" xfId="0" applyFill="1" applyBorder="1" applyAlignment="1" applyProtection="1">
      <alignment horizontal="center" vertical="center"/>
      <protection locked="0"/>
    </xf>
    <xf numFmtId="0" fontId="0" fillId="0" borderId="36" xfId="0" applyBorder="1" applyAlignment="1">
      <alignment horizontal="center" vertical="center"/>
    </xf>
    <xf numFmtId="0" fontId="0" fillId="0" borderId="112" xfId="0" applyBorder="1" applyAlignment="1">
      <alignment horizontal="center" vertical="center"/>
    </xf>
    <xf numFmtId="0" fontId="0" fillId="22" borderId="36" xfId="0" applyFont="1" applyFill="1" applyBorder="1" applyAlignment="1" applyProtection="1">
      <alignment horizontal="center" vertical="center"/>
      <protection locked="0"/>
    </xf>
    <xf numFmtId="0" fontId="15" fillId="24" borderId="109" xfId="0" applyFont="1" applyFill="1" applyBorder="1" applyAlignment="1">
      <alignment horizontal="center" vertical="center"/>
    </xf>
    <xf numFmtId="0" fontId="15" fillId="24" borderId="113" xfId="0" applyFont="1" applyFill="1" applyBorder="1" applyAlignment="1">
      <alignment horizontal="center" vertical="center"/>
    </xf>
    <xf numFmtId="0" fontId="15" fillId="24" borderId="106" xfId="0" applyFont="1" applyFill="1" applyBorder="1" applyAlignment="1">
      <alignment horizontal="center" vertical="center" shrinkToFit="1"/>
    </xf>
    <xf numFmtId="0" fontId="15" fillId="24" borderId="114" xfId="0" applyFont="1" applyFill="1" applyBorder="1" applyAlignment="1">
      <alignment horizontal="center" vertical="center" shrinkToFit="1"/>
    </xf>
    <xf numFmtId="49" fontId="12" fillId="22" borderId="42" xfId="43" applyNumberFormat="1" applyFont="1" applyFill="1" applyBorder="1" applyAlignment="1" applyProtection="1">
      <alignment horizontal="center" vertical="center"/>
      <protection locked="0"/>
    </xf>
    <xf numFmtId="49" fontId="0" fillId="22" borderId="42" xfId="0" applyNumberFormat="1" applyFill="1" applyBorder="1" applyAlignment="1" applyProtection="1">
      <alignment horizontal="center" vertical="center"/>
      <protection locked="0"/>
    </xf>
    <xf numFmtId="49" fontId="0" fillId="22" borderId="108" xfId="0" applyNumberFormat="1" applyFill="1" applyBorder="1" applyAlignment="1" applyProtection="1">
      <alignment horizontal="center" vertical="center"/>
      <protection locked="0"/>
    </xf>
    <xf numFmtId="0" fontId="15" fillId="24" borderId="115" xfId="0" applyFont="1" applyFill="1" applyBorder="1" applyAlignment="1">
      <alignment horizontal="center" vertical="center"/>
    </xf>
    <xf numFmtId="0" fontId="15" fillId="24" borderId="104" xfId="0" applyFont="1" applyFill="1" applyBorder="1" applyAlignment="1">
      <alignment horizontal="center" vertical="center"/>
    </xf>
    <xf numFmtId="0" fontId="15" fillId="24" borderId="42" xfId="0" applyFont="1" applyFill="1" applyBorder="1" applyAlignment="1">
      <alignment horizontal="center" vertical="center"/>
    </xf>
    <xf numFmtId="0" fontId="15" fillId="24" borderId="108" xfId="0" applyFont="1" applyFill="1" applyBorder="1" applyAlignment="1">
      <alignment horizontal="center" vertical="center"/>
    </xf>
    <xf numFmtId="0" fontId="15" fillId="24" borderId="103" xfId="0" applyFont="1" applyFill="1" applyBorder="1" applyAlignment="1">
      <alignment horizontal="center" vertical="center"/>
    </xf>
    <xf numFmtId="0" fontId="15" fillId="24" borderId="33" xfId="0" applyFont="1" applyFill="1" applyBorder="1" applyAlignment="1">
      <alignment horizontal="center" vertical="center"/>
    </xf>
    <xf numFmtId="0" fontId="72" fillId="24" borderId="104" xfId="0" applyFont="1" applyFill="1" applyBorder="1" applyAlignment="1">
      <alignment vertical="center" wrapText="1"/>
    </xf>
    <xf numFmtId="0" fontId="73" fillId="0" borderId="0" xfId="0" applyFont="1" applyAlignment="1">
      <alignment vertical="center"/>
    </xf>
    <xf numFmtId="197" fontId="1" fillId="0" borderId="16" xfId="0" applyNumberFormat="1" applyFont="1" applyBorder="1" applyAlignment="1">
      <alignment vertical="center"/>
    </xf>
    <xf numFmtId="0" fontId="0" fillId="22" borderId="116" xfId="0" applyFill="1" applyBorder="1" applyAlignment="1" applyProtection="1">
      <alignment horizontal="center" vertical="center"/>
      <protection locked="0"/>
    </xf>
    <xf numFmtId="0" fontId="0" fillId="0" borderId="117" xfId="0" applyBorder="1" applyAlignment="1">
      <alignment vertical="center"/>
    </xf>
    <xf numFmtId="0" fontId="0" fillId="0" borderId="118" xfId="0" applyBorder="1" applyAlignment="1">
      <alignment vertical="center"/>
    </xf>
    <xf numFmtId="0" fontId="0" fillId="0" borderId="42" xfId="0" applyBorder="1" applyAlignment="1">
      <alignment vertical="center"/>
    </xf>
    <xf numFmtId="0" fontId="0" fillId="24" borderId="42" xfId="0" applyFill="1" applyBorder="1" applyAlignment="1">
      <alignment horizontal="center" vertical="center"/>
    </xf>
    <xf numFmtId="0" fontId="15" fillId="24" borderId="105" xfId="0" applyFont="1" applyFill="1" applyBorder="1" applyAlignment="1">
      <alignment horizontal="center" vertical="center"/>
    </xf>
    <xf numFmtId="0" fontId="15" fillId="24" borderId="36" xfId="0" applyFont="1" applyFill="1" applyBorder="1" applyAlignment="1">
      <alignment horizontal="center" vertical="center"/>
    </xf>
    <xf numFmtId="0" fontId="15" fillId="24" borderId="112" xfId="0" applyFont="1" applyFill="1" applyBorder="1" applyAlignment="1">
      <alignment horizontal="center" vertical="center"/>
    </xf>
    <xf numFmtId="0" fontId="15" fillId="24" borderId="119" xfId="0" applyFont="1" applyFill="1" applyBorder="1" applyAlignment="1">
      <alignment horizontal="center" vertical="center"/>
    </xf>
    <xf numFmtId="0" fontId="0" fillId="0" borderId="113" xfId="0" applyBorder="1" applyAlignment="1">
      <alignment horizontal="center" vertical="center"/>
    </xf>
    <xf numFmtId="0" fontId="0" fillId="22" borderId="113" xfId="0" applyFill="1" applyBorder="1" applyAlignment="1" applyProtection="1">
      <alignment horizontal="center" vertical="center"/>
      <protection locked="0"/>
    </xf>
    <xf numFmtId="0" fontId="0" fillId="22" borderId="109" xfId="0" applyFont="1" applyFill="1" applyBorder="1" applyAlignment="1" applyProtection="1">
      <alignment horizontal="center" vertical="center"/>
      <protection locked="0"/>
    </xf>
    <xf numFmtId="0" fontId="0" fillId="22" borderId="110" xfId="0" applyFont="1" applyFill="1" applyBorder="1" applyAlignment="1" applyProtection="1">
      <alignment horizontal="center" vertical="center"/>
      <protection locked="0"/>
    </xf>
    <xf numFmtId="0" fontId="0" fillId="22" borderId="113" xfId="0" applyFont="1" applyFill="1" applyBorder="1" applyAlignment="1" applyProtection="1">
      <alignment horizontal="center" vertical="center"/>
      <protection locked="0"/>
    </xf>
    <xf numFmtId="0" fontId="0" fillId="0" borderId="33" xfId="0" applyBorder="1" applyAlignment="1">
      <alignment horizontal="left" vertical="center"/>
    </xf>
    <xf numFmtId="0" fontId="0" fillId="0" borderId="115" xfId="0" applyBorder="1" applyAlignment="1">
      <alignment horizontal="left" vertical="center"/>
    </xf>
    <xf numFmtId="0" fontId="0" fillId="0" borderId="36" xfId="0" applyBorder="1" applyAlignment="1">
      <alignment horizontal="left" vertical="center"/>
    </xf>
    <xf numFmtId="0" fontId="0" fillId="0" borderId="112" xfId="0" applyBorder="1" applyAlignment="1">
      <alignment horizontal="left" vertical="center"/>
    </xf>
    <xf numFmtId="0" fontId="18" fillId="24" borderId="120" xfId="0" applyFont="1" applyFill="1" applyBorder="1" applyAlignment="1">
      <alignment horizontal="center" vertical="center"/>
    </xf>
    <xf numFmtId="0" fontId="18" fillId="24" borderId="121" xfId="0" applyFont="1" applyFill="1" applyBorder="1" applyAlignment="1">
      <alignment horizontal="center" vertical="center"/>
    </xf>
    <xf numFmtId="0" fontId="21" fillId="0" borderId="122" xfId="0" applyFont="1" applyBorder="1" applyAlignment="1">
      <alignment vertical="center"/>
    </xf>
    <xf numFmtId="0" fontId="21" fillId="0" borderId="0" xfId="0" applyFont="1" applyBorder="1" applyAlignment="1">
      <alignment vertical="center"/>
    </xf>
    <xf numFmtId="0" fontId="18" fillId="24" borderId="123" xfId="0" applyFont="1" applyFill="1" applyBorder="1" applyAlignment="1">
      <alignment horizontal="center" vertical="center" wrapText="1"/>
    </xf>
    <xf numFmtId="0" fontId="18" fillId="24" borderId="124" xfId="0" applyFont="1" applyFill="1" applyBorder="1" applyAlignment="1">
      <alignment horizontal="center" vertical="center" wrapText="1"/>
    </xf>
    <xf numFmtId="0" fontId="18" fillId="24" borderId="125" xfId="0" applyFont="1" applyFill="1" applyBorder="1" applyAlignment="1">
      <alignment horizontal="center" vertical="center" wrapText="1"/>
    </xf>
    <xf numFmtId="0" fontId="18" fillId="24" borderId="126" xfId="0" applyFont="1" applyFill="1" applyBorder="1" applyAlignment="1">
      <alignment horizontal="center" vertical="center" wrapText="1"/>
    </xf>
    <xf numFmtId="0" fontId="0" fillId="22" borderId="127" xfId="0" applyFill="1" applyBorder="1" applyAlignment="1" applyProtection="1">
      <alignment horizontal="center" shrinkToFit="1"/>
      <protection locked="0"/>
    </xf>
    <xf numFmtId="0" fontId="0" fillId="22" borderId="127" xfId="0" applyFont="1" applyFill="1" applyBorder="1" applyAlignment="1" applyProtection="1">
      <alignment horizontal="center" shrinkToFit="1"/>
      <protection locked="0"/>
    </xf>
    <xf numFmtId="0" fontId="0" fillId="22" borderId="128" xfId="0" applyFont="1" applyFill="1" applyBorder="1" applyAlignment="1" applyProtection="1">
      <alignment horizontal="center" shrinkToFit="1"/>
      <protection locked="0"/>
    </xf>
    <xf numFmtId="0" fontId="25" fillId="22" borderId="129" xfId="0" applyFont="1" applyFill="1" applyBorder="1" applyAlignment="1" applyProtection="1">
      <alignment horizontal="center" vertical="center" shrinkToFit="1"/>
      <protection locked="0"/>
    </xf>
    <xf numFmtId="0" fontId="25" fillId="22" borderId="66" xfId="0" applyFont="1" applyFill="1" applyBorder="1" applyAlignment="1" applyProtection="1">
      <alignment horizontal="center" vertical="center" shrinkToFit="1"/>
      <protection locked="0"/>
    </xf>
    <xf numFmtId="0" fontId="25" fillId="22" borderId="67" xfId="0" applyFont="1" applyFill="1" applyBorder="1" applyAlignment="1" applyProtection="1">
      <alignment horizontal="center" vertical="center" shrinkToFit="1"/>
      <protection locked="0"/>
    </xf>
    <xf numFmtId="0" fontId="0" fillId="22" borderId="130" xfId="0" applyFill="1" applyBorder="1" applyAlignment="1" applyProtection="1">
      <alignment horizontal="center" vertical="center" shrinkToFit="1"/>
      <protection locked="0"/>
    </xf>
    <xf numFmtId="0" fontId="0" fillId="22" borderId="131" xfId="0" applyFill="1" applyBorder="1" applyAlignment="1" applyProtection="1">
      <alignment horizontal="center" vertical="center" shrinkToFit="1"/>
      <protection locked="0"/>
    </xf>
    <xf numFmtId="0" fontId="0" fillId="22" borderId="132" xfId="0" applyFill="1" applyBorder="1" applyAlignment="1" applyProtection="1">
      <alignment horizontal="center" vertical="center" shrinkToFit="1"/>
      <protection locked="0"/>
    </xf>
    <xf numFmtId="0" fontId="0" fillId="22" borderId="133" xfId="0" applyFill="1" applyBorder="1" applyAlignment="1" applyProtection="1">
      <alignment horizontal="center" vertical="center" shrinkToFit="1"/>
      <protection locked="0"/>
    </xf>
    <xf numFmtId="0" fontId="15" fillId="24" borderId="69" xfId="0" applyFont="1" applyFill="1" applyBorder="1" applyAlignment="1">
      <alignment horizontal="center" vertical="center"/>
    </xf>
    <xf numFmtId="0" fontId="15" fillId="24" borderId="25" xfId="0" applyFont="1" applyFill="1" applyBorder="1" applyAlignment="1">
      <alignment horizontal="center" vertical="center"/>
    </xf>
    <xf numFmtId="0" fontId="15" fillId="24" borderId="23" xfId="0" applyFont="1" applyFill="1" applyBorder="1" applyAlignment="1">
      <alignment horizontal="center" vertical="center"/>
    </xf>
    <xf numFmtId="0" fontId="15" fillId="24" borderId="46" xfId="0" applyFont="1" applyFill="1" applyBorder="1" applyAlignment="1">
      <alignment horizontal="center" vertical="center"/>
    </xf>
    <xf numFmtId="0" fontId="15" fillId="24" borderId="18" xfId="0" applyFont="1" applyFill="1" applyBorder="1" applyAlignment="1">
      <alignment horizontal="center" vertical="center"/>
    </xf>
    <xf numFmtId="0" fontId="15" fillId="24" borderId="19" xfId="0" applyFont="1" applyFill="1" applyBorder="1" applyAlignment="1">
      <alignment horizontal="center" vertical="center"/>
    </xf>
    <xf numFmtId="0" fontId="15"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0" fillId="0" borderId="8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5" fillId="0" borderId="134" xfId="0" applyFont="1" applyBorder="1" applyAlignment="1">
      <alignment horizontal="right" vertical="center" shrinkToFit="1"/>
    </xf>
    <xf numFmtId="0" fontId="15" fillId="0" borderId="135" xfId="0" applyFont="1" applyBorder="1" applyAlignment="1">
      <alignment horizontal="right" vertical="center" shrinkToFit="1"/>
    </xf>
    <xf numFmtId="186" fontId="0" fillId="22" borderId="136" xfId="0" applyNumberFormat="1" applyFill="1" applyBorder="1" applyAlignment="1" applyProtection="1">
      <alignment horizontal="right" vertical="center" shrinkToFit="1"/>
      <protection locked="0"/>
    </xf>
    <xf numFmtId="186" fontId="0" fillId="22" borderId="135" xfId="0" applyNumberFormat="1" applyFill="1" applyBorder="1" applyAlignment="1" applyProtection="1">
      <alignment horizontal="right" vertical="center" shrinkToFit="1"/>
      <protection locked="0"/>
    </xf>
    <xf numFmtId="186" fontId="0" fillId="22" borderId="137" xfId="0" applyNumberFormat="1" applyFill="1" applyBorder="1" applyAlignment="1" applyProtection="1">
      <alignment horizontal="right" vertical="center" shrinkToFit="1"/>
      <protection locked="0"/>
    </xf>
    <xf numFmtId="186" fontId="0" fillId="22" borderId="138" xfId="0" applyNumberFormat="1" applyFill="1" applyBorder="1" applyAlignment="1" applyProtection="1">
      <alignment horizontal="right" vertical="center" shrinkToFit="1"/>
      <protection locked="0"/>
    </xf>
    <xf numFmtId="0" fontId="0" fillId="22" borderId="139" xfId="0" applyFill="1" applyBorder="1" applyAlignment="1" applyProtection="1">
      <alignment horizontal="center" vertical="center" shrinkToFit="1"/>
      <protection locked="0"/>
    </xf>
    <xf numFmtId="0" fontId="0" fillId="22" borderId="140" xfId="0" applyFill="1" applyBorder="1" applyAlignment="1" applyProtection="1">
      <alignment horizontal="center" vertical="center" shrinkToFit="1"/>
      <protection locked="0"/>
    </xf>
    <xf numFmtId="186" fontId="0" fillId="22" borderId="141" xfId="0" applyNumberFormat="1" applyFill="1" applyBorder="1" applyAlignment="1" applyProtection="1">
      <alignment horizontal="right" vertical="center" shrinkToFit="1"/>
      <protection locked="0"/>
    </xf>
    <xf numFmtId="186" fontId="0" fillId="22" borderId="142" xfId="0" applyNumberFormat="1" applyFill="1" applyBorder="1" applyAlignment="1" applyProtection="1">
      <alignment horizontal="right" vertical="center" shrinkToFit="1"/>
      <protection locked="0"/>
    </xf>
    <xf numFmtId="24" fontId="0" fillId="22" borderId="116" xfId="0" applyNumberFormat="1" applyFill="1" applyBorder="1" applyAlignment="1" applyProtection="1">
      <alignment horizontal="center" vertical="center"/>
      <protection locked="0"/>
    </xf>
    <xf numFmtId="0" fontId="6" fillId="22" borderId="143" xfId="0" applyFont="1" applyFill="1" applyBorder="1" applyAlignment="1" applyProtection="1">
      <alignment vertical="center" wrapText="1"/>
      <protection locked="0"/>
    </xf>
    <xf numFmtId="0" fontId="0" fillId="22" borderId="144" xfId="0" applyFill="1" applyBorder="1" applyAlignment="1" applyProtection="1">
      <alignment vertical="center" wrapText="1"/>
      <protection locked="0"/>
    </xf>
    <xf numFmtId="0" fontId="0" fillId="0" borderId="145" xfId="0" applyFont="1" applyFill="1" applyBorder="1" applyAlignment="1">
      <alignment horizontal="center" vertical="center" shrinkToFit="1"/>
    </xf>
    <xf numFmtId="176" fontId="0" fillId="22" borderId="145" xfId="49" applyNumberFormat="1" applyFont="1" applyFill="1" applyBorder="1" applyAlignment="1" applyProtection="1">
      <alignment horizontal="right" vertical="center" indent="2"/>
      <protection locked="0"/>
    </xf>
    <xf numFmtId="0" fontId="0" fillId="22" borderId="144" xfId="0" applyFill="1" applyBorder="1" applyAlignment="1" applyProtection="1">
      <alignment horizontal="left" vertical="center" wrapText="1" shrinkToFit="1"/>
      <protection locked="0"/>
    </xf>
    <xf numFmtId="0" fontId="0" fillId="22" borderId="143" xfId="0" applyFill="1" applyBorder="1" applyAlignment="1" applyProtection="1">
      <alignment horizontal="center" vertical="center" wrapText="1" shrinkToFit="1"/>
      <protection locked="0"/>
    </xf>
    <xf numFmtId="178" fontId="0" fillId="22" borderId="144" xfId="0" applyNumberFormat="1" applyFill="1" applyBorder="1" applyAlignment="1" applyProtection="1">
      <alignment horizontal="center" vertical="center"/>
      <protection locked="0"/>
    </xf>
    <xf numFmtId="0" fontId="0" fillId="22" borderId="107" xfId="0" applyFill="1" applyBorder="1" applyAlignment="1" applyProtection="1">
      <alignment horizontal="center" vertical="center"/>
      <protection locked="0"/>
    </xf>
    <xf numFmtId="0" fontId="0" fillId="22" borderId="146" xfId="0" applyFill="1" applyBorder="1" applyAlignment="1" applyProtection="1">
      <alignment horizontal="center" vertical="center"/>
      <protection locked="0"/>
    </xf>
    <xf numFmtId="0" fontId="0" fillId="22" borderId="147" xfId="0" applyFill="1" applyBorder="1" applyAlignment="1" applyProtection="1">
      <alignment horizontal="center" vertical="center"/>
      <protection locked="0"/>
    </xf>
    <xf numFmtId="0" fontId="0" fillId="22" borderId="148" xfId="0" applyFill="1" applyBorder="1" applyAlignment="1" applyProtection="1">
      <alignment horizontal="center" vertical="center"/>
      <protection locked="0"/>
    </xf>
    <xf numFmtId="0" fontId="0" fillId="24" borderId="36" xfId="0" applyFill="1" applyBorder="1" applyAlignment="1">
      <alignment horizontal="center" vertical="center"/>
    </xf>
    <xf numFmtId="0" fontId="34" fillId="22" borderId="145" xfId="0" applyFont="1" applyFill="1" applyBorder="1" applyAlignment="1" applyProtection="1">
      <alignment vertical="center" wrapText="1"/>
      <protection locked="0"/>
    </xf>
    <xf numFmtId="0" fontId="6" fillId="22" borderId="149" xfId="0" applyFont="1" applyFill="1" applyBorder="1" applyAlignment="1" applyProtection="1">
      <alignment vertical="center" wrapText="1"/>
      <protection locked="0"/>
    </xf>
    <xf numFmtId="0" fontId="6" fillId="22" borderId="149" xfId="0" applyFont="1" applyFill="1" applyBorder="1" applyAlignment="1" applyProtection="1">
      <alignment horizontal="left" vertical="center" wrapText="1" shrinkToFit="1"/>
      <protection locked="0"/>
    </xf>
    <xf numFmtId="178" fontId="0" fillId="22" borderId="144" xfId="0" applyNumberFormat="1" applyFill="1" applyBorder="1" applyAlignment="1" applyProtection="1">
      <alignment horizontal="center" vertical="center" wrapText="1"/>
      <protection locked="0"/>
    </xf>
    <xf numFmtId="38" fontId="0" fillId="0" borderId="145" xfId="49" applyFont="1" applyFill="1" applyBorder="1" applyAlignment="1">
      <alignment vertical="center" shrinkToFit="1"/>
    </xf>
    <xf numFmtId="0" fontId="15" fillId="24" borderId="105" xfId="0" applyFont="1" applyFill="1" applyBorder="1" applyAlignment="1">
      <alignment horizontal="center" vertical="center" shrinkToFit="1"/>
    </xf>
    <xf numFmtId="0" fontId="15" fillId="24" borderId="36" xfId="0" applyFont="1" applyFill="1" applyBorder="1" applyAlignment="1">
      <alignment horizontal="center" vertical="center" shrinkToFit="1"/>
    </xf>
    <xf numFmtId="0" fontId="15" fillId="24" borderId="112" xfId="0" applyFont="1" applyFill="1" applyBorder="1" applyAlignment="1">
      <alignment horizontal="center" vertical="center" shrinkToFit="1"/>
    </xf>
    <xf numFmtId="0" fontId="15" fillId="24" borderId="104" xfId="0" applyFont="1" applyFill="1" applyBorder="1" applyAlignment="1">
      <alignment horizontal="center" vertical="center" shrinkToFit="1"/>
    </xf>
    <xf numFmtId="0" fontId="15" fillId="24" borderId="42" xfId="0" applyFont="1" applyFill="1" applyBorder="1" applyAlignment="1">
      <alignment horizontal="center" vertical="center" shrinkToFit="1"/>
    </xf>
    <xf numFmtId="0" fontId="15" fillId="24" borderId="108" xfId="0" applyFont="1" applyFill="1" applyBorder="1" applyAlignment="1">
      <alignment horizontal="center" vertical="center" shrinkToFit="1"/>
    </xf>
    <xf numFmtId="0" fontId="0" fillId="22" borderId="149" xfId="0" applyFont="1" applyFill="1" applyBorder="1" applyAlignment="1" applyProtection="1">
      <alignment horizontal="center" vertical="center" shrinkToFit="1"/>
      <protection locked="0"/>
    </xf>
    <xf numFmtId="0" fontId="15" fillId="24" borderId="103" xfId="0" applyFont="1" applyFill="1" applyBorder="1" applyAlignment="1">
      <alignment horizontal="center" vertical="center" shrinkToFit="1"/>
    </xf>
    <xf numFmtId="0" fontId="15" fillId="24" borderId="33" xfId="0" applyFont="1" applyFill="1" applyBorder="1" applyAlignment="1">
      <alignment horizontal="center" vertical="center" shrinkToFit="1"/>
    </xf>
    <xf numFmtId="0" fontId="15" fillId="24" borderId="115" xfId="0" applyFont="1" applyFill="1" applyBorder="1" applyAlignment="1">
      <alignment horizontal="center" vertical="center" shrinkToFit="1"/>
    </xf>
    <xf numFmtId="0" fontId="0" fillId="22" borderId="143" xfId="0" applyFont="1" applyFill="1" applyBorder="1" applyAlignment="1" applyProtection="1">
      <alignment horizontal="center" vertical="center" shrinkToFit="1"/>
      <protection locked="0"/>
    </xf>
    <xf numFmtId="176" fontId="0" fillId="0" borderId="149" xfId="49" applyNumberFormat="1" applyFont="1" applyFill="1" applyBorder="1" applyAlignment="1">
      <alignment horizontal="right" vertical="center" indent="2"/>
    </xf>
    <xf numFmtId="176" fontId="0" fillId="0" borderId="143" xfId="49" applyNumberFormat="1" applyFont="1" applyFill="1" applyBorder="1" applyAlignment="1">
      <alignment horizontal="right" vertical="center" indent="2"/>
    </xf>
    <xf numFmtId="176" fontId="0" fillId="22" borderId="145" xfId="49" applyNumberFormat="1" applyFont="1" applyFill="1" applyBorder="1" applyAlignment="1" applyProtection="1">
      <alignment horizontal="center" vertical="center"/>
      <protection locked="0"/>
    </xf>
    <xf numFmtId="0" fontId="0" fillId="22" borderId="149" xfId="0" applyFill="1" applyBorder="1" applyAlignment="1" applyProtection="1">
      <alignment horizontal="left" vertical="center" shrinkToFit="1"/>
      <protection locked="0"/>
    </xf>
    <xf numFmtId="0" fontId="15" fillId="24" borderId="37" xfId="0" applyFont="1" applyFill="1" applyBorder="1" applyAlignment="1">
      <alignment horizontal="center" vertical="center" shrinkToFit="1"/>
    </xf>
    <xf numFmtId="0" fontId="15" fillId="24" borderId="150" xfId="0" applyFont="1" applyFill="1" applyBorder="1" applyAlignment="1">
      <alignment horizontal="center" vertical="center" shrinkToFit="1"/>
    </xf>
    <xf numFmtId="0" fontId="15" fillId="24" borderId="81" xfId="0" applyFont="1" applyFill="1" applyBorder="1" applyAlignment="1">
      <alignment horizontal="center" vertical="center" shrinkToFit="1"/>
    </xf>
    <xf numFmtId="0" fontId="24" fillId="0" borderId="39" xfId="0" applyFont="1" applyFill="1" applyBorder="1" applyAlignment="1">
      <alignment horizontal="center" vertical="center" shrinkToFit="1"/>
    </xf>
    <xf numFmtId="0" fontId="24" fillId="0" borderId="38" xfId="0" applyFont="1" applyFill="1" applyBorder="1" applyAlignment="1">
      <alignment horizontal="center" vertical="center" shrinkToFit="1"/>
    </xf>
    <xf numFmtId="0" fontId="24" fillId="0" borderId="34" xfId="0" applyFont="1" applyFill="1" applyBorder="1" applyAlignment="1">
      <alignment horizontal="center" vertical="center" shrinkToFit="1"/>
    </xf>
    <xf numFmtId="176" fontId="0" fillId="22" borderId="151" xfId="49" applyNumberFormat="1" applyFont="1" applyFill="1" applyBorder="1" applyAlignment="1" applyProtection="1">
      <alignment horizontal="center" vertical="center"/>
      <protection locked="0"/>
    </xf>
    <xf numFmtId="176" fontId="0" fillId="22" borderId="152" xfId="49" applyNumberFormat="1" applyFont="1" applyFill="1" applyBorder="1" applyAlignment="1" applyProtection="1">
      <alignment horizontal="center" vertical="center"/>
      <protection locked="0"/>
    </xf>
    <xf numFmtId="176" fontId="0" fillId="22" borderId="153" xfId="49" applyNumberFormat="1" applyFont="1" applyFill="1" applyBorder="1" applyAlignment="1" applyProtection="1">
      <alignment horizontal="center" vertical="center"/>
      <protection locked="0"/>
    </xf>
    <xf numFmtId="0" fontId="15" fillId="24" borderId="154" xfId="0" applyFont="1" applyFill="1" applyBorder="1" applyAlignment="1">
      <alignment horizontal="center" vertical="center" wrapText="1"/>
    </xf>
    <xf numFmtId="0" fontId="15" fillId="24" borderId="38" xfId="0" applyFont="1" applyFill="1" applyBorder="1" applyAlignment="1">
      <alignment horizontal="center" vertical="center" wrapText="1"/>
    </xf>
    <xf numFmtId="0" fontId="15" fillId="24" borderId="155" xfId="0" applyFont="1" applyFill="1" applyBorder="1" applyAlignment="1">
      <alignment horizontal="center" vertical="center" wrapText="1"/>
    </xf>
    <xf numFmtId="0" fontId="15" fillId="0" borderId="136" xfId="0" applyFont="1" applyBorder="1" applyAlignment="1">
      <alignment horizontal="right" vertical="center" shrinkToFit="1"/>
    </xf>
    <xf numFmtId="0" fontId="16" fillId="0" borderId="0" xfId="0" applyFont="1" applyBorder="1" applyAlignment="1">
      <alignment/>
    </xf>
    <xf numFmtId="0" fontId="17" fillId="0" borderId="50" xfId="0" applyFont="1" applyBorder="1" applyAlignment="1">
      <alignment/>
    </xf>
    <xf numFmtId="178" fontId="0" fillId="22" borderId="150" xfId="0" applyNumberFormat="1" applyFill="1" applyBorder="1" applyAlignment="1" applyProtection="1">
      <alignment horizontal="center" vertical="center" shrinkToFit="1"/>
      <protection locked="0"/>
    </xf>
    <xf numFmtId="178" fontId="0" fillId="22" borderId="81" xfId="0" applyNumberFormat="1" applyFill="1" applyBorder="1" applyAlignment="1" applyProtection="1">
      <alignment horizontal="center" vertical="center" shrinkToFit="1"/>
      <protection locked="0"/>
    </xf>
    <xf numFmtId="0" fontId="15" fillId="24" borderId="37" xfId="0" applyFont="1" applyFill="1" applyBorder="1" applyAlignment="1">
      <alignment horizontal="center" vertical="center" wrapText="1"/>
    </xf>
    <xf numFmtId="0" fontId="15" fillId="24" borderId="150" xfId="0" applyFont="1" applyFill="1" applyBorder="1" applyAlignment="1">
      <alignment horizontal="center" vertical="center" wrapText="1"/>
    </xf>
    <xf numFmtId="0" fontId="0" fillId="22" borderId="150" xfId="0" applyFill="1" applyBorder="1" applyAlignment="1" applyProtection="1">
      <alignment horizontal="center" vertical="center" shrinkToFit="1"/>
      <protection locked="0"/>
    </xf>
    <xf numFmtId="0" fontId="0" fillId="22" borderId="39" xfId="0" applyFill="1" applyBorder="1" applyAlignment="1" applyProtection="1">
      <alignment horizontal="center" vertical="center" shrinkToFit="1"/>
      <protection locked="0"/>
    </xf>
    <xf numFmtId="0" fontId="0" fillId="24" borderId="37" xfId="0" applyFill="1" applyBorder="1" applyAlignment="1">
      <alignment horizontal="center" vertical="center"/>
    </xf>
    <xf numFmtId="0" fontId="0" fillId="24" borderId="150" xfId="0" applyFill="1" applyBorder="1" applyAlignment="1">
      <alignment horizontal="center" vertical="center"/>
    </xf>
    <xf numFmtId="0" fontId="15" fillId="0" borderId="8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89" xfId="0" applyFont="1" applyBorder="1" applyAlignment="1">
      <alignment horizontal="right" vertical="center" shrinkToFit="1"/>
    </xf>
    <xf numFmtId="0" fontId="15" fillId="0" borderId="20" xfId="0" applyFont="1" applyBorder="1" applyAlignment="1">
      <alignment horizontal="right" vertical="center" shrinkToFit="1"/>
    </xf>
    <xf numFmtId="186" fontId="0" fillId="22" borderId="156" xfId="0" applyNumberFormat="1" applyFill="1" applyBorder="1" applyAlignment="1" applyProtection="1">
      <alignment horizontal="right" vertical="center" shrinkToFit="1"/>
      <protection locked="0"/>
    </xf>
    <xf numFmtId="186" fontId="0" fillId="22" borderId="157" xfId="0" applyNumberFormat="1" applyFill="1" applyBorder="1" applyAlignment="1" applyProtection="1">
      <alignment horizontal="right" vertical="center" shrinkToFit="1"/>
      <protection locked="0"/>
    </xf>
    <xf numFmtId="0" fontId="15" fillId="0" borderId="158" xfId="0" applyFont="1" applyBorder="1" applyAlignment="1">
      <alignment horizontal="right" vertical="center" shrinkToFit="1"/>
    </xf>
    <xf numFmtId="0" fontId="15" fillId="0" borderId="138" xfId="0" applyFont="1" applyBorder="1" applyAlignment="1">
      <alignment horizontal="right" vertical="center" shrinkToFit="1"/>
    </xf>
    <xf numFmtId="184" fontId="0" fillId="22" borderId="150" xfId="0" applyNumberFormat="1" applyFill="1" applyBorder="1" applyAlignment="1" applyProtection="1">
      <alignment horizontal="center" vertical="center"/>
      <protection locked="0"/>
    </xf>
    <xf numFmtId="184" fontId="0" fillId="22" borderId="81" xfId="0" applyNumberFormat="1" applyFill="1" applyBorder="1" applyAlignment="1" applyProtection="1">
      <alignment horizontal="center" vertical="center"/>
      <protection locked="0"/>
    </xf>
    <xf numFmtId="0" fontId="0" fillId="22" borderId="42" xfId="0" applyFill="1" applyBorder="1" applyAlignment="1" applyProtection="1">
      <alignment vertical="center"/>
      <protection locked="0"/>
    </xf>
    <xf numFmtId="0" fontId="0" fillId="22" borderId="127" xfId="0" applyFill="1" applyBorder="1" applyAlignment="1" applyProtection="1">
      <alignment horizontal="center" vertical="center" shrinkToFit="1"/>
      <protection locked="0"/>
    </xf>
    <xf numFmtId="0" fontId="0" fillId="22" borderId="127" xfId="0" applyFont="1" applyFill="1" applyBorder="1" applyAlignment="1" applyProtection="1">
      <alignment horizontal="center" vertical="center" shrinkToFit="1"/>
      <protection locked="0"/>
    </xf>
    <xf numFmtId="0" fontId="0" fillId="22" borderId="128" xfId="0" applyFont="1" applyFill="1" applyBorder="1" applyAlignment="1" applyProtection="1">
      <alignment horizontal="center" vertical="center" shrinkToFit="1"/>
      <protection locked="0"/>
    </xf>
    <xf numFmtId="0" fontId="15" fillId="24" borderId="37" xfId="0" applyFont="1" applyFill="1" applyBorder="1" applyAlignment="1">
      <alignment horizontal="center" vertical="center"/>
    </xf>
    <xf numFmtId="0" fontId="15" fillId="24" borderId="150" xfId="0" applyFont="1" applyFill="1" applyBorder="1" applyAlignment="1">
      <alignment horizontal="center" vertical="center"/>
    </xf>
    <xf numFmtId="0" fontId="15" fillId="24" borderId="159" xfId="0" applyFont="1" applyFill="1" applyBorder="1" applyAlignment="1">
      <alignment horizontal="center" vertical="center"/>
    </xf>
    <xf numFmtId="0" fontId="15" fillId="24" borderId="50" xfId="0" applyFont="1" applyFill="1" applyBorder="1" applyAlignment="1">
      <alignment horizontal="center" vertical="center"/>
    </xf>
    <xf numFmtId="0" fontId="15" fillId="0" borderId="45" xfId="0" applyFont="1" applyBorder="1" applyAlignment="1">
      <alignment horizontal="right" vertical="center"/>
    </xf>
    <xf numFmtId="0" fontId="0" fillId="0" borderId="84" xfId="0" applyBorder="1" applyAlignment="1">
      <alignment horizontal="right" vertical="center"/>
    </xf>
    <xf numFmtId="186" fontId="0" fillId="0" borderId="160" xfId="0" applyNumberFormat="1" applyBorder="1" applyAlignment="1">
      <alignment horizontal="right" vertical="center"/>
    </xf>
    <xf numFmtId="186" fontId="0" fillId="0" borderId="161" xfId="0" applyNumberFormat="1" applyBorder="1" applyAlignment="1">
      <alignment horizontal="right" vertical="center"/>
    </xf>
    <xf numFmtId="0" fontId="15" fillId="0" borderId="162" xfId="0" applyFont="1" applyBorder="1" applyAlignment="1">
      <alignment horizontal="right" vertical="center"/>
    </xf>
    <xf numFmtId="0" fontId="15" fillId="0" borderId="161" xfId="0" applyFont="1" applyBorder="1" applyAlignment="1">
      <alignment horizontal="right" vertical="center"/>
    </xf>
    <xf numFmtId="0" fontId="15" fillId="0" borderId="141" xfId="0" applyFont="1" applyBorder="1" applyAlignment="1">
      <alignment horizontal="right" vertical="center" shrinkToFit="1"/>
    </xf>
    <xf numFmtId="0" fontId="15" fillId="0" borderId="142" xfId="0" applyFont="1" applyBorder="1" applyAlignment="1">
      <alignment horizontal="right" vertical="center" shrinkToFit="1"/>
    </xf>
    <xf numFmtId="176" fontId="0" fillId="22" borderId="143" xfId="49" applyNumberFormat="1" applyFont="1" applyFill="1" applyBorder="1" applyAlignment="1" applyProtection="1">
      <alignment vertical="center"/>
      <protection locked="0"/>
    </xf>
    <xf numFmtId="0" fontId="15" fillId="24" borderId="36" xfId="0" applyFont="1" applyFill="1" applyBorder="1" applyAlignment="1">
      <alignment horizontal="center" vertical="center" wrapText="1"/>
    </xf>
    <xf numFmtId="198" fontId="0" fillId="22" borderId="106" xfId="49" applyNumberFormat="1" applyFont="1" applyFill="1" applyBorder="1" applyAlignment="1" applyProtection="1">
      <alignment horizontal="right" vertical="center"/>
      <protection locked="0"/>
    </xf>
    <xf numFmtId="198" fontId="0" fillId="22" borderId="152" xfId="49" applyNumberFormat="1" applyFont="1" applyFill="1" applyBorder="1" applyAlignment="1" applyProtection="1">
      <alignment horizontal="right" vertical="center"/>
      <protection locked="0"/>
    </xf>
    <xf numFmtId="198" fontId="0" fillId="22" borderId="153" xfId="49" applyNumberFormat="1" applyFont="1" applyFill="1" applyBorder="1" applyAlignment="1" applyProtection="1">
      <alignment horizontal="right" vertical="center"/>
      <protection locked="0"/>
    </xf>
    <xf numFmtId="0" fontId="15" fillId="24" borderId="33" xfId="0" applyFont="1" applyFill="1" applyBorder="1" applyAlignment="1">
      <alignment horizontal="center" vertical="center" wrapText="1"/>
    </xf>
    <xf numFmtId="197" fontId="0" fillId="22" borderId="109" xfId="0" applyNumberFormat="1" applyFill="1" applyBorder="1" applyAlignment="1" applyProtection="1">
      <alignment horizontal="right" vertical="center"/>
      <protection locked="0"/>
    </xf>
    <xf numFmtId="197" fontId="0" fillId="22" borderId="111" xfId="0" applyNumberFormat="1" applyFill="1" applyBorder="1" applyAlignment="1" applyProtection="1">
      <alignment horizontal="right" vertical="center"/>
      <protection locked="0"/>
    </xf>
    <xf numFmtId="0" fontId="34" fillId="22" borderId="149" xfId="0" applyFont="1" applyFill="1" applyBorder="1" applyAlignment="1" applyProtection="1">
      <alignment vertical="center" wrapText="1"/>
      <protection locked="0"/>
    </xf>
    <xf numFmtId="0" fontId="0" fillId="0" borderId="103" xfId="0" applyBorder="1" applyAlignment="1">
      <alignment vertical="center"/>
    </xf>
    <xf numFmtId="0" fontId="0" fillId="0" borderId="33" xfId="0" applyBorder="1" applyAlignment="1">
      <alignment vertical="center"/>
    </xf>
    <xf numFmtId="49" fontId="0" fillId="22" borderId="36" xfId="0" applyNumberFormat="1" applyFill="1" applyBorder="1" applyAlignment="1" applyProtection="1">
      <alignment horizontal="center" vertical="center"/>
      <protection locked="0"/>
    </xf>
    <xf numFmtId="0" fontId="15" fillId="24" borderId="34" xfId="0" applyFont="1" applyFill="1" applyBorder="1" applyAlignment="1">
      <alignment horizontal="center" vertical="center" wrapText="1"/>
    </xf>
    <xf numFmtId="0" fontId="0" fillId="0" borderId="42" xfId="0" applyFill="1" applyBorder="1" applyAlignment="1">
      <alignment vertical="center"/>
    </xf>
    <xf numFmtId="0" fontId="0" fillId="0" borderId="108" xfId="0" applyFill="1" applyBorder="1" applyAlignment="1">
      <alignment vertical="center"/>
    </xf>
    <xf numFmtId="0" fontId="22" fillId="0" borderId="105" xfId="0" applyFont="1" applyFill="1" applyBorder="1" applyAlignment="1">
      <alignment horizontal="center" vertical="center" textRotation="255" wrapText="1"/>
    </xf>
    <xf numFmtId="0" fontId="22" fillId="0" borderId="163" xfId="0" applyFont="1" applyFill="1" applyBorder="1" applyAlignment="1">
      <alignment horizontal="center" vertical="center" textRotation="255" wrapText="1"/>
    </xf>
    <xf numFmtId="0" fontId="22" fillId="0" borderId="104" xfId="0" applyFont="1" applyFill="1" applyBorder="1" applyAlignment="1">
      <alignment horizontal="center" vertical="center" textRotation="255" wrapText="1"/>
    </xf>
    <xf numFmtId="0" fontId="0" fillId="22" borderId="106" xfId="0" applyFill="1" applyBorder="1" applyAlignment="1" applyProtection="1">
      <alignment vertical="center" shrinkToFit="1"/>
      <protection locked="0"/>
    </xf>
    <xf numFmtId="0" fontId="0" fillId="22" borderId="152" xfId="0" applyFill="1" applyBorder="1" applyAlignment="1" applyProtection="1">
      <alignment vertical="center" shrinkToFit="1"/>
      <protection locked="0"/>
    </xf>
    <xf numFmtId="0" fontId="0" fillId="22" borderId="153" xfId="0" applyFill="1" applyBorder="1" applyAlignment="1" applyProtection="1">
      <alignment vertical="center" shrinkToFit="1"/>
      <protection locked="0"/>
    </xf>
    <xf numFmtId="0" fontId="39" fillId="0" borderId="0" xfId="0" applyFont="1" applyBorder="1" applyAlignment="1">
      <alignment/>
    </xf>
    <xf numFmtId="0" fontId="0" fillId="24" borderId="112" xfId="0" applyFill="1" applyBorder="1" applyAlignment="1">
      <alignment horizontal="center" vertical="center"/>
    </xf>
    <xf numFmtId="0" fontId="0" fillId="24" borderId="108" xfId="0" applyFill="1" applyBorder="1" applyAlignment="1">
      <alignment horizontal="center" vertical="center"/>
    </xf>
    <xf numFmtId="0" fontId="0" fillId="22" borderId="109" xfId="0" applyFill="1" applyBorder="1" applyAlignment="1" applyProtection="1">
      <alignment vertical="center" shrinkToFit="1"/>
      <protection locked="0"/>
    </xf>
    <xf numFmtId="0" fontId="0" fillId="22" borderId="110" xfId="0" applyFill="1" applyBorder="1" applyAlignment="1" applyProtection="1">
      <alignment vertical="center" shrinkToFit="1"/>
      <protection locked="0"/>
    </xf>
    <xf numFmtId="0" fontId="0" fillId="22" borderId="111" xfId="0" applyFill="1" applyBorder="1" applyAlignment="1" applyProtection="1">
      <alignment vertical="center" shrinkToFit="1"/>
      <protection locked="0"/>
    </xf>
    <xf numFmtId="0" fontId="34" fillId="22" borderId="143" xfId="0" applyFont="1" applyFill="1" applyBorder="1" applyAlignment="1" applyProtection="1">
      <alignment vertical="center" wrapText="1"/>
      <protection locked="0"/>
    </xf>
    <xf numFmtId="0" fontId="0" fillId="24" borderId="105" xfId="0" applyFill="1" applyBorder="1" applyAlignment="1">
      <alignment horizontal="center" vertical="center"/>
    </xf>
    <xf numFmtId="0" fontId="0" fillId="24" borderId="104" xfId="0" applyFill="1" applyBorder="1" applyAlignment="1">
      <alignment horizontal="center" vertical="center"/>
    </xf>
    <xf numFmtId="0" fontId="15" fillId="24" borderId="164" xfId="0" applyFont="1" applyFill="1" applyBorder="1" applyAlignment="1">
      <alignment horizontal="center" vertical="center"/>
    </xf>
    <xf numFmtId="0" fontId="15" fillId="24" borderId="165" xfId="0" applyFont="1" applyFill="1" applyBorder="1" applyAlignment="1">
      <alignment horizontal="center" vertical="center"/>
    </xf>
    <xf numFmtId="0" fontId="15" fillId="24" borderId="166" xfId="0" applyFont="1" applyFill="1" applyBorder="1" applyAlignment="1">
      <alignment horizontal="center" vertical="center"/>
    </xf>
    <xf numFmtId="0" fontId="0" fillId="22" borderId="167" xfId="0" applyFill="1" applyBorder="1" applyAlignment="1" applyProtection="1">
      <alignment horizontal="center" vertical="center"/>
      <protection locked="0"/>
    </xf>
    <xf numFmtId="0" fontId="20" fillId="24" borderId="105" xfId="0" applyFont="1" applyFill="1" applyBorder="1" applyAlignment="1">
      <alignment horizontal="center" vertical="center" textRotation="255" wrapText="1"/>
    </xf>
    <xf numFmtId="0" fontId="20" fillId="24" borderId="104" xfId="0" applyFont="1" applyFill="1" applyBorder="1" applyAlignment="1">
      <alignment horizontal="center" vertical="center" textRotation="255" wrapText="1"/>
    </xf>
    <xf numFmtId="38" fontId="0" fillId="22" borderId="145" xfId="49" applyFont="1" applyFill="1" applyBorder="1" applyAlignment="1" applyProtection="1">
      <alignment vertical="center" shrinkToFit="1"/>
      <protection locked="0"/>
    </xf>
    <xf numFmtId="0" fontId="15" fillId="0" borderId="109" xfId="0" applyFont="1" applyFill="1" applyBorder="1" applyAlignment="1">
      <alignment vertical="center" wrapText="1" shrinkToFit="1"/>
    </xf>
    <xf numFmtId="0" fontId="15" fillId="0" borderId="110" xfId="0" applyFont="1" applyFill="1" applyBorder="1" applyAlignment="1">
      <alignment vertical="center" wrapText="1" shrinkToFit="1"/>
    </xf>
    <xf numFmtId="0" fontId="15" fillId="0" borderId="111" xfId="0" applyFont="1" applyFill="1" applyBorder="1" applyAlignment="1">
      <alignment vertical="center" wrapText="1" shrinkToFit="1"/>
    </xf>
    <xf numFmtId="0" fontId="15" fillId="0" borderId="107" xfId="0" applyFont="1" applyFill="1" applyBorder="1" applyAlignment="1">
      <alignment vertical="center" wrapText="1"/>
    </xf>
    <xf numFmtId="0" fontId="15" fillId="0" borderId="146" xfId="0" applyFont="1" applyFill="1" applyBorder="1" applyAlignment="1">
      <alignment vertical="center" wrapText="1"/>
    </xf>
    <xf numFmtId="0" fontId="15" fillId="0" borderId="168" xfId="0" applyFont="1" applyFill="1" applyBorder="1" applyAlignment="1">
      <alignment vertical="center" wrapText="1"/>
    </xf>
    <xf numFmtId="0" fontId="15" fillId="24" borderId="103" xfId="0" applyFont="1" applyFill="1" applyBorder="1" applyAlignment="1">
      <alignment horizontal="center" vertical="center" textRotation="255" wrapText="1" shrinkToFit="1"/>
    </xf>
    <xf numFmtId="0" fontId="15" fillId="24" borderId="104" xfId="0" applyFont="1" applyFill="1" applyBorder="1" applyAlignment="1">
      <alignment horizontal="center" vertical="center" textRotation="255" wrapText="1" shrinkToFit="1"/>
    </xf>
    <xf numFmtId="0" fontId="15" fillId="0" borderId="109" xfId="0" applyFont="1" applyFill="1" applyBorder="1" applyAlignment="1">
      <alignment horizontal="left" vertical="center" wrapText="1"/>
    </xf>
    <xf numFmtId="0" fontId="15" fillId="0" borderId="110" xfId="0" applyFont="1" applyFill="1" applyBorder="1" applyAlignment="1">
      <alignment horizontal="left" vertical="center" wrapText="1"/>
    </xf>
    <xf numFmtId="0" fontId="15" fillId="0" borderId="111" xfId="0" applyFont="1" applyFill="1" applyBorder="1" applyAlignment="1">
      <alignment horizontal="left" vertical="center" wrapText="1"/>
    </xf>
    <xf numFmtId="0" fontId="17" fillId="0" borderId="0" xfId="0" applyFont="1" applyBorder="1" applyAlignment="1">
      <alignment/>
    </xf>
    <xf numFmtId="0" fontId="15" fillId="24" borderId="43" xfId="0" applyFont="1" applyFill="1" applyBorder="1" applyAlignment="1">
      <alignment horizontal="center" vertical="center" textRotation="255"/>
    </xf>
    <xf numFmtId="0" fontId="15" fillId="0" borderId="43" xfId="0" applyFont="1" applyBorder="1" applyAlignment="1">
      <alignment horizontal="center" vertical="center" textRotation="255"/>
    </xf>
    <xf numFmtId="0" fontId="18" fillId="24" borderId="169" xfId="0" applyFont="1" applyFill="1" applyBorder="1" applyAlignment="1">
      <alignment horizontal="center" vertical="center"/>
    </xf>
    <xf numFmtId="0" fontId="18" fillId="24" borderId="130" xfId="0" applyFont="1" applyFill="1" applyBorder="1" applyAlignment="1">
      <alignment horizontal="center" vertical="center"/>
    </xf>
    <xf numFmtId="0" fontId="18" fillId="24" borderId="170" xfId="0" applyFont="1" applyFill="1" applyBorder="1" applyAlignment="1">
      <alignment horizontal="center" vertical="center"/>
    </xf>
    <xf numFmtId="0" fontId="18" fillId="24" borderId="132" xfId="0" applyFont="1" applyFill="1" applyBorder="1" applyAlignment="1">
      <alignment horizontal="center" vertical="center"/>
    </xf>
    <xf numFmtId="0" fontId="15" fillId="0" borderId="160" xfId="0" applyFont="1" applyBorder="1" applyAlignment="1">
      <alignment horizontal="right" vertical="center" shrinkToFit="1"/>
    </xf>
    <xf numFmtId="0" fontId="15" fillId="0" borderId="161" xfId="0" applyFont="1" applyBorder="1" applyAlignment="1">
      <alignment horizontal="right" vertical="center" shrinkToFit="1"/>
    </xf>
    <xf numFmtId="0" fontId="0" fillId="22" borderId="129" xfId="0" applyFill="1" applyBorder="1" applyAlignment="1" applyProtection="1">
      <alignment horizontal="center" vertical="center" shrinkToFit="1"/>
      <protection locked="0"/>
    </xf>
    <xf numFmtId="0" fontId="0" fillId="22" borderId="66" xfId="0" applyFill="1" applyBorder="1" applyAlignment="1" applyProtection="1">
      <alignment horizontal="center" vertical="center" shrinkToFit="1"/>
      <protection locked="0"/>
    </xf>
    <xf numFmtId="0" fontId="0" fillId="22" borderId="171" xfId="0" applyFill="1" applyBorder="1" applyAlignment="1" applyProtection="1">
      <alignment horizontal="center" vertical="center" shrinkToFit="1"/>
      <protection locked="0"/>
    </xf>
    <xf numFmtId="0" fontId="0" fillId="22" borderId="129" xfId="0" applyFill="1" applyBorder="1" applyAlignment="1" applyProtection="1">
      <alignment vertical="center" shrinkToFit="1"/>
      <protection locked="0"/>
    </xf>
    <xf numFmtId="0" fontId="0" fillId="22" borderId="66" xfId="0" applyFill="1" applyBorder="1" applyAlignment="1" applyProtection="1">
      <alignment vertical="center" shrinkToFit="1"/>
      <protection locked="0"/>
    </xf>
    <xf numFmtId="0" fontId="0" fillId="22" borderId="67" xfId="0" applyFill="1" applyBorder="1" applyAlignment="1" applyProtection="1">
      <alignment vertical="center" shrinkToFit="1"/>
      <protection locked="0"/>
    </xf>
    <xf numFmtId="0" fontId="35" fillId="0" borderId="0" xfId="0" applyFont="1" applyAlignment="1">
      <alignment vertical="center"/>
    </xf>
    <xf numFmtId="0" fontId="19" fillId="0" borderId="0" xfId="0" applyFont="1" applyAlignment="1">
      <alignment vertical="center"/>
    </xf>
    <xf numFmtId="0" fontId="0" fillId="22" borderId="67" xfId="0" applyFill="1" applyBorder="1" applyAlignment="1" applyProtection="1">
      <alignment horizontal="center" vertical="center" shrinkToFit="1"/>
      <protection locked="0"/>
    </xf>
    <xf numFmtId="186" fontId="0" fillId="0" borderId="84" xfId="0" applyNumberFormat="1" applyBorder="1" applyAlignment="1">
      <alignment horizontal="right" vertical="center"/>
    </xf>
    <xf numFmtId="0" fontId="17" fillId="0" borderId="50" xfId="0" applyFont="1" applyBorder="1" applyAlignment="1">
      <alignment horizontal="center" wrapText="1"/>
    </xf>
    <xf numFmtId="186" fontId="0" fillId="0" borderId="141" xfId="0" applyNumberFormat="1" applyBorder="1" applyAlignment="1">
      <alignment horizontal="right" vertical="center"/>
    </xf>
    <xf numFmtId="186" fontId="0" fillId="0" borderId="142" xfId="0" applyNumberFormat="1" applyBorder="1" applyAlignment="1">
      <alignment horizontal="right" vertical="center"/>
    </xf>
    <xf numFmtId="0" fontId="15" fillId="24" borderId="154" xfId="0" applyFont="1" applyFill="1" applyBorder="1" applyAlignment="1">
      <alignment horizontal="center" vertical="center" shrinkToFit="1"/>
    </xf>
    <xf numFmtId="0" fontId="15" fillId="24" borderId="38" xfId="0" applyFont="1" applyFill="1" applyBorder="1" applyAlignment="1">
      <alignment horizontal="center" vertical="center" shrinkToFit="1"/>
    </xf>
    <xf numFmtId="0" fontId="15" fillId="24" borderId="155" xfId="0" applyFont="1" applyFill="1" applyBorder="1" applyAlignment="1">
      <alignment horizontal="center" vertical="center" shrinkToFit="1"/>
    </xf>
    <xf numFmtId="0" fontId="0" fillId="22" borderId="168" xfId="0" applyFill="1" applyBorder="1" applyAlignment="1" applyProtection="1">
      <alignment horizontal="center" vertical="center"/>
      <protection locked="0"/>
    </xf>
    <xf numFmtId="0" fontId="0" fillId="22" borderId="150" xfId="0" applyFill="1" applyBorder="1" applyAlignment="1" applyProtection="1">
      <alignment horizontal="center" vertical="center"/>
      <protection locked="0"/>
    </xf>
    <xf numFmtId="0" fontId="0" fillId="22" borderId="81" xfId="0" applyFill="1" applyBorder="1" applyAlignment="1" applyProtection="1">
      <alignment horizontal="center" vertical="center"/>
      <protection locked="0"/>
    </xf>
    <xf numFmtId="0" fontId="17" fillId="0" borderId="38" xfId="0" applyFont="1" applyBorder="1" applyAlignment="1">
      <alignment/>
    </xf>
    <xf numFmtId="176" fontId="0" fillId="0" borderId="143" xfId="49" applyNumberFormat="1" applyFont="1" applyFill="1" applyBorder="1" applyAlignment="1">
      <alignment vertical="center"/>
    </xf>
    <xf numFmtId="0" fontId="15" fillId="24" borderId="172" xfId="0" applyFont="1" applyFill="1" applyBorder="1" applyAlignment="1">
      <alignment horizontal="center" vertical="center"/>
    </xf>
    <xf numFmtId="0" fontId="15" fillId="24" borderId="173" xfId="0" applyFont="1" applyFill="1" applyBorder="1" applyAlignment="1">
      <alignment horizontal="center" vertical="center"/>
    </xf>
    <xf numFmtId="0" fontId="15" fillId="24" borderId="154" xfId="0" applyFont="1" applyFill="1"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15" fillId="24" borderId="103" xfId="0" applyFont="1" applyFill="1" applyBorder="1" applyAlignment="1">
      <alignment horizontal="center" vertical="center" textRotation="255" wrapText="1"/>
    </xf>
    <xf numFmtId="0" fontId="15" fillId="24" borderId="115" xfId="0" applyFont="1" applyFill="1" applyBorder="1" applyAlignment="1">
      <alignment horizontal="center" vertical="center" wrapText="1"/>
    </xf>
    <xf numFmtId="0" fontId="20" fillId="24" borderId="174" xfId="0" applyFont="1" applyFill="1" applyBorder="1" applyAlignment="1">
      <alignment horizontal="center" vertical="center" textRotation="255" wrapText="1"/>
    </xf>
    <xf numFmtId="0" fontId="0" fillId="22" borderId="107" xfId="0" applyFill="1" applyBorder="1" applyAlignment="1" applyProtection="1">
      <alignment vertical="center" shrinkToFit="1"/>
      <protection locked="0"/>
    </xf>
    <xf numFmtId="0" fontId="0" fillId="22" borderId="146" xfId="0" applyFill="1" applyBorder="1" applyAlignment="1" applyProtection="1">
      <alignment vertical="center" shrinkToFit="1"/>
      <protection locked="0"/>
    </xf>
    <xf numFmtId="0" fontId="0" fillId="22" borderId="168" xfId="0" applyFill="1" applyBorder="1" applyAlignment="1" applyProtection="1">
      <alignment vertical="center" shrinkToFit="1"/>
      <protection locked="0"/>
    </xf>
    <xf numFmtId="49" fontId="26" fillId="22" borderId="175" xfId="0" applyNumberFormat="1" applyFont="1" applyFill="1" applyBorder="1" applyAlignment="1" applyProtection="1">
      <alignment horizontal="center" vertical="center"/>
      <protection locked="0"/>
    </xf>
    <xf numFmtId="49" fontId="26" fillId="22" borderId="176" xfId="0" applyNumberFormat="1" applyFont="1" applyFill="1" applyBorder="1" applyAlignment="1" applyProtection="1">
      <alignment horizontal="center" vertical="center"/>
      <protection locked="0"/>
    </xf>
    <xf numFmtId="0" fontId="31" fillId="0" borderId="77" xfId="0" applyFont="1" applyBorder="1" applyAlignment="1">
      <alignment horizontal="center" vertical="center" shrinkToFit="1"/>
    </xf>
    <xf numFmtId="0" fontId="31" fillId="0" borderId="76" xfId="0" applyFont="1" applyBorder="1" applyAlignment="1">
      <alignment horizontal="center" vertical="center" shrinkToFit="1"/>
    </xf>
    <xf numFmtId="0" fontId="31" fillId="0" borderId="74" xfId="0" applyFont="1" applyBorder="1" applyAlignment="1">
      <alignment horizontal="center" vertical="center" shrinkToFit="1"/>
    </xf>
    <xf numFmtId="0" fontId="26" fillId="22" borderId="175" xfId="0" applyFont="1" applyFill="1" applyBorder="1" applyAlignment="1" applyProtection="1">
      <alignment horizontal="center" vertical="center"/>
      <protection locked="0"/>
    </xf>
    <xf numFmtId="0" fontId="31" fillId="0" borderId="78" xfId="0" applyFont="1" applyBorder="1" applyAlignment="1">
      <alignment horizontal="center" vertical="center" shrinkToFit="1"/>
    </xf>
    <xf numFmtId="0" fontId="26" fillId="22" borderId="43" xfId="0" applyFont="1" applyFill="1" applyBorder="1" applyAlignment="1" applyProtection="1">
      <alignment horizontal="center" vertical="center"/>
      <protection locked="0"/>
    </xf>
    <xf numFmtId="0" fontId="16" fillId="0" borderId="165" xfId="0" applyFont="1" applyBorder="1" applyAlignment="1">
      <alignment/>
    </xf>
    <xf numFmtId="0" fontId="16" fillId="0" borderId="43" xfId="0" applyFont="1" applyBorder="1" applyAlignment="1">
      <alignment/>
    </xf>
    <xf numFmtId="0" fontId="0" fillId="0" borderId="43" xfId="0" applyBorder="1" applyAlignment="1">
      <alignment vertical="center"/>
    </xf>
    <xf numFmtId="0" fontId="0" fillId="22" borderId="177" xfId="0" applyFill="1" applyBorder="1" applyAlignment="1" applyProtection="1">
      <alignment horizontal="left" vertical="center" wrapText="1" shrinkToFit="1"/>
      <protection locked="0"/>
    </xf>
    <xf numFmtId="0" fontId="0" fillId="22" borderId="165" xfId="0" applyFill="1" applyBorder="1" applyAlignment="1" applyProtection="1">
      <alignment horizontal="left" vertical="center" wrapText="1" shrinkToFit="1"/>
      <protection locked="0"/>
    </xf>
    <xf numFmtId="0" fontId="0" fillId="22" borderId="178" xfId="0" applyFill="1" applyBorder="1" applyAlignment="1" applyProtection="1">
      <alignment horizontal="left" vertical="center" wrapText="1" shrinkToFit="1"/>
      <protection locked="0"/>
    </xf>
    <xf numFmtId="0" fontId="0" fillId="22" borderId="179" xfId="0" applyFill="1" applyBorder="1" applyAlignment="1" applyProtection="1">
      <alignment horizontal="left" vertical="center" wrapText="1" shrinkToFit="1"/>
      <protection locked="0"/>
    </xf>
    <xf numFmtId="0" fontId="0" fillId="22" borderId="180" xfId="0" applyFill="1" applyBorder="1" applyAlignment="1" applyProtection="1">
      <alignment horizontal="left" vertical="center" wrapText="1" shrinkToFit="1"/>
      <protection locked="0"/>
    </xf>
    <xf numFmtId="0" fontId="0" fillId="22" borderId="181" xfId="0" applyFill="1" applyBorder="1" applyAlignment="1" applyProtection="1">
      <alignment horizontal="left" vertical="center" wrapText="1" shrinkToFit="1"/>
      <protection locked="0"/>
    </xf>
    <xf numFmtId="0" fontId="1" fillId="22" borderId="100" xfId="0" applyFont="1" applyFill="1" applyBorder="1" applyAlignment="1" applyProtection="1">
      <alignment vertical="center"/>
      <protection locked="0"/>
    </xf>
    <xf numFmtId="0" fontId="1" fillId="22" borderId="16" xfId="0" applyFont="1" applyFill="1" applyBorder="1" applyAlignment="1" applyProtection="1">
      <alignment vertical="center"/>
      <protection locked="0"/>
    </xf>
    <xf numFmtId="0" fontId="1" fillId="22" borderId="22" xfId="0" applyFont="1" applyFill="1" applyBorder="1" applyAlignment="1" applyProtection="1">
      <alignment vertical="center" shrinkToFit="1"/>
      <protection locked="0"/>
    </xf>
    <xf numFmtId="0" fontId="1" fillId="22" borderId="18" xfId="0" applyFont="1" applyFill="1" applyBorder="1" applyAlignment="1" applyProtection="1">
      <alignment vertical="center" shrinkToFit="1"/>
      <protection locked="0"/>
    </xf>
    <xf numFmtId="0" fontId="1" fillId="22" borderId="19" xfId="0" applyFont="1" applyFill="1" applyBorder="1" applyAlignment="1" applyProtection="1">
      <alignment vertical="center" shrinkToFit="1"/>
      <protection locked="0"/>
    </xf>
    <xf numFmtId="186" fontId="0" fillId="22" borderId="103" xfId="49" applyNumberFormat="1" applyFont="1" applyFill="1" applyBorder="1" applyAlignment="1" applyProtection="1">
      <alignment horizontal="center" vertical="center"/>
      <protection locked="0"/>
    </xf>
    <xf numFmtId="186" fontId="0" fillId="22" borderId="33" xfId="49" applyNumberFormat="1" applyFont="1" applyFill="1" applyBorder="1" applyAlignment="1" applyProtection="1">
      <alignment horizontal="center" vertical="center"/>
      <protection locked="0"/>
    </xf>
    <xf numFmtId="0" fontId="15" fillId="24" borderId="105" xfId="0" applyFont="1" applyFill="1" applyBorder="1" applyAlignment="1">
      <alignment horizontal="center" vertical="center" wrapText="1"/>
    </xf>
    <xf numFmtId="0" fontId="15" fillId="24" borderId="36" xfId="0" applyFont="1" applyFill="1" applyBorder="1" applyAlignment="1">
      <alignment horizontal="center" vertical="center" textRotation="255" wrapText="1"/>
    </xf>
    <xf numFmtId="0" fontId="15" fillId="24" borderId="33" xfId="0" applyFont="1" applyFill="1" applyBorder="1" applyAlignment="1">
      <alignment horizontal="center" vertical="center" textRotation="255" wrapText="1"/>
    </xf>
    <xf numFmtId="198" fontId="0" fillId="22" borderId="33" xfId="49" applyNumberFormat="1" applyFont="1" applyFill="1" applyBorder="1" applyAlignment="1" applyProtection="1">
      <alignment horizontal="right" vertical="center"/>
      <protection locked="0"/>
    </xf>
    <xf numFmtId="0" fontId="1" fillId="0" borderId="15" xfId="0" applyFont="1" applyBorder="1" applyAlignment="1">
      <alignment horizontal="center" vertical="center"/>
    </xf>
    <xf numFmtId="0" fontId="1" fillId="0" borderId="182" xfId="0" applyFont="1" applyBorder="1" applyAlignment="1">
      <alignment horizontal="center" vertical="center"/>
    </xf>
    <xf numFmtId="0" fontId="0" fillId="22" borderId="183" xfId="0" applyFill="1" applyBorder="1" applyAlignment="1" applyProtection="1">
      <alignment vertical="center" wrapText="1" shrinkToFit="1"/>
      <protection locked="0"/>
    </xf>
    <xf numFmtId="0" fontId="0" fillId="22" borderId="184" xfId="0" applyFill="1" applyBorder="1" applyAlignment="1" applyProtection="1">
      <alignment vertical="center" wrapText="1" shrinkToFit="1"/>
      <protection locked="0"/>
    </xf>
    <xf numFmtId="0" fontId="0" fillId="22" borderId="185" xfId="0" applyFill="1" applyBorder="1" applyAlignment="1" applyProtection="1">
      <alignment vertical="center" wrapText="1" shrinkToFit="1"/>
      <protection locked="0"/>
    </xf>
    <xf numFmtId="0" fontId="15" fillId="24" borderId="42" xfId="0" applyFont="1" applyFill="1" applyBorder="1" applyAlignment="1">
      <alignment horizontal="center" vertical="center" wrapText="1"/>
    </xf>
    <xf numFmtId="198" fontId="0" fillId="22" borderId="42" xfId="49" applyNumberFormat="1" applyFont="1" applyFill="1" applyBorder="1" applyAlignment="1" applyProtection="1">
      <alignment horizontal="right" vertical="center"/>
      <protection locked="0"/>
    </xf>
    <xf numFmtId="0" fontId="15" fillId="24" borderId="73" xfId="0" applyFont="1" applyFill="1" applyBorder="1" applyAlignment="1">
      <alignment horizontal="center" vertical="center" wrapText="1"/>
    </xf>
    <xf numFmtId="0" fontId="15" fillId="24" borderId="186" xfId="0" applyFont="1" applyFill="1" applyBorder="1" applyAlignment="1">
      <alignment horizontal="center" vertical="center" wrapText="1"/>
    </xf>
    <xf numFmtId="0" fontId="0" fillId="22" borderId="186" xfId="0" applyFill="1" applyBorder="1" applyAlignment="1" applyProtection="1">
      <alignment horizontal="center" vertical="center"/>
      <protection locked="0"/>
    </xf>
    <xf numFmtId="0" fontId="0" fillId="22" borderId="187" xfId="0" applyFill="1" applyBorder="1" applyAlignment="1" applyProtection="1">
      <alignment horizontal="center" vertical="center"/>
      <protection locked="0"/>
    </xf>
    <xf numFmtId="198" fontId="0" fillId="22" borderId="107" xfId="0" applyNumberFormat="1" applyFill="1" applyBorder="1" applyAlignment="1" applyProtection="1">
      <alignment horizontal="right" vertical="center"/>
      <protection locked="0"/>
    </xf>
    <xf numFmtId="198" fontId="0" fillId="22" borderId="146" xfId="0" applyNumberFormat="1" applyFill="1" applyBorder="1" applyAlignment="1" applyProtection="1">
      <alignment horizontal="right" vertical="center"/>
      <protection locked="0"/>
    </xf>
    <xf numFmtId="198" fontId="0" fillId="22" borderId="168" xfId="0" applyNumberFormat="1" applyFill="1" applyBorder="1" applyAlignment="1" applyProtection="1">
      <alignment horizontal="right" vertical="center"/>
      <protection locked="0"/>
    </xf>
    <xf numFmtId="0" fontId="15" fillId="24" borderId="188" xfId="0" applyFont="1" applyFill="1" applyBorder="1" applyAlignment="1">
      <alignment horizontal="center" vertical="center" wrapText="1"/>
    </xf>
    <xf numFmtId="0" fontId="15" fillId="24" borderId="184" xfId="0" applyFont="1" applyFill="1" applyBorder="1" applyAlignment="1">
      <alignment horizontal="center" vertical="center" wrapText="1"/>
    </xf>
    <xf numFmtId="0" fontId="0" fillId="0" borderId="184" xfId="0" applyBorder="1" applyAlignment="1">
      <alignment horizontal="center" vertical="center" wrapText="1"/>
    </xf>
    <xf numFmtId="0" fontId="0" fillId="0" borderId="189" xfId="0" applyBorder="1" applyAlignment="1">
      <alignment horizontal="center" vertical="center" wrapText="1"/>
    </xf>
    <xf numFmtId="0" fontId="1" fillId="0" borderId="99" xfId="0" applyFont="1" applyBorder="1" applyAlignment="1">
      <alignment horizontal="center" vertical="center"/>
    </xf>
    <xf numFmtId="0" fontId="0" fillId="22" borderId="107" xfId="0" applyFill="1" applyBorder="1" applyAlignment="1" applyProtection="1">
      <alignment horizontal="left" vertical="center" wrapText="1" shrinkToFit="1"/>
      <protection locked="0"/>
    </xf>
    <xf numFmtId="0" fontId="0" fillId="22" borderId="146" xfId="0" applyFill="1" applyBorder="1" applyAlignment="1" applyProtection="1">
      <alignment horizontal="left" vertical="center" wrapText="1" shrinkToFit="1"/>
      <protection locked="0"/>
    </xf>
    <xf numFmtId="0" fontId="0" fillId="22" borderId="168" xfId="0" applyFill="1" applyBorder="1" applyAlignment="1" applyProtection="1">
      <alignment horizontal="left" vertical="center" wrapText="1" shrinkToFit="1"/>
      <protection locked="0"/>
    </xf>
    <xf numFmtId="0" fontId="15" fillId="24" borderId="105" xfId="0" applyFont="1" applyFill="1" applyBorder="1" applyAlignment="1">
      <alignment horizontal="center" vertical="center" textRotation="255" wrapText="1"/>
    </xf>
    <xf numFmtId="0" fontId="15" fillId="24" borderId="104" xfId="0" applyFont="1" applyFill="1" applyBorder="1" applyAlignment="1">
      <alignment horizontal="center" vertical="center" textRotation="255" wrapText="1"/>
    </xf>
    <xf numFmtId="198" fontId="0" fillId="22" borderId="36" xfId="49" applyNumberFormat="1" applyFont="1" applyFill="1" applyBorder="1" applyAlignment="1" applyProtection="1">
      <alignment horizontal="right" vertical="center"/>
      <protection locked="0"/>
    </xf>
    <xf numFmtId="0" fontId="1" fillId="22" borderId="190" xfId="0" applyFont="1" applyFill="1" applyBorder="1" applyAlignment="1" applyProtection="1">
      <alignment vertical="center"/>
      <protection locked="0"/>
    </xf>
    <xf numFmtId="0" fontId="1" fillId="22" borderId="191" xfId="0" applyFont="1" applyFill="1" applyBorder="1" applyAlignment="1" applyProtection="1">
      <alignment vertical="center"/>
      <protection locked="0"/>
    </xf>
    <xf numFmtId="0" fontId="1" fillId="22" borderId="17" xfId="0" applyFont="1" applyFill="1" applyBorder="1" applyAlignment="1" applyProtection="1">
      <alignment vertical="center"/>
      <protection locked="0"/>
    </xf>
    <xf numFmtId="0" fontId="1" fillId="22" borderId="192" xfId="0" applyFont="1" applyFill="1" applyBorder="1" applyAlignment="1" applyProtection="1">
      <alignment vertical="center"/>
      <protection locked="0"/>
    </xf>
    <xf numFmtId="0" fontId="1" fillId="22" borderId="11" xfId="0" applyFont="1" applyFill="1" applyBorder="1" applyAlignment="1" applyProtection="1">
      <alignment vertical="center" shrinkToFit="1"/>
      <protection locked="0"/>
    </xf>
    <xf numFmtId="0" fontId="15" fillId="24" borderId="105" xfId="0" applyFont="1" applyFill="1" applyBorder="1" applyAlignment="1">
      <alignment horizontal="center" vertical="center" textRotation="255" wrapText="1" shrinkToFit="1"/>
    </xf>
    <xf numFmtId="0" fontId="0" fillId="0" borderId="38" xfId="0" applyBorder="1" applyAlignment="1">
      <alignment horizontal="center" vertical="center" shrinkToFit="1"/>
    </xf>
    <xf numFmtId="0" fontId="0" fillId="0" borderId="34" xfId="0" applyBorder="1" applyAlignment="1">
      <alignment horizontal="center" vertical="center" shrinkToFit="1"/>
    </xf>
    <xf numFmtId="0" fontId="15" fillId="0" borderId="45" xfId="0" applyFont="1" applyBorder="1" applyAlignment="1">
      <alignment horizontal="right" vertical="center" shrinkToFit="1"/>
    </xf>
    <xf numFmtId="0" fontId="0" fillId="0" borderId="84" xfId="0" applyBorder="1" applyAlignment="1">
      <alignment horizontal="right" vertical="center" shrinkToFit="1"/>
    </xf>
    <xf numFmtId="0" fontId="15" fillId="0" borderId="193" xfId="0" applyFont="1" applyBorder="1" applyAlignment="1">
      <alignment horizontal="right" vertical="center" shrinkToFit="1"/>
    </xf>
    <xf numFmtId="0" fontId="0" fillId="0" borderId="82" xfId="0" applyBorder="1" applyAlignment="1">
      <alignment horizontal="right" vertical="center" shrinkToFit="1"/>
    </xf>
    <xf numFmtId="186" fontId="0" fillId="0" borderId="136" xfId="0" applyNumberFormat="1" applyBorder="1" applyAlignment="1">
      <alignment horizontal="right" vertical="center"/>
    </xf>
    <xf numFmtId="186" fontId="0" fillId="0" borderId="135" xfId="0" applyNumberFormat="1" applyBorder="1" applyAlignment="1">
      <alignment horizontal="right" vertical="center"/>
    </xf>
    <xf numFmtId="0" fontId="15" fillId="0" borderId="82" xfId="0" applyFont="1" applyBorder="1" applyAlignment="1">
      <alignment horizontal="right" vertical="center" shrinkToFit="1"/>
    </xf>
    <xf numFmtId="186" fontId="0" fillId="0" borderId="82" xfId="0" applyNumberFormat="1" applyBorder="1" applyAlignment="1">
      <alignment horizontal="right" vertical="center"/>
    </xf>
    <xf numFmtId="0" fontId="15" fillId="0" borderId="69" xfId="0" applyFont="1" applyFill="1" applyBorder="1" applyAlignment="1">
      <alignment horizontal="right" vertical="center"/>
    </xf>
    <xf numFmtId="0" fontId="15" fillId="0" borderId="25" xfId="0" applyFont="1" applyFill="1" applyBorder="1" applyAlignment="1">
      <alignment horizontal="right" vertical="center"/>
    </xf>
    <xf numFmtId="0" fontId="0" fillId="0" borderId="25" xfId="0" applyBorder="1" applyAlignment="1">
      <alignment vertical="center"/>
    </xf>
    <xf numFmtId="0" fontId="0" fillId="0" borderId="23" xfId="0" applyBorder="1" applyAlignment="1">
      <alignment vertical="center"/>
    </xf>
    <xf numFmtId="0" fontId="0" fillId="0" borderId="8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86" fontId="0" fillId="0" borderId="137" xfId="0" applyNumberFormat="1" applyBorder="1" applyAlignment="1">
      <alignment horizontal="right" vertical="center"/>
    </xf>
    <xf numFmtId="186" fontId="0" fillId="0" borderId="138" xfId="0" applyNumberFormat="1" applyBorder="1" applyAlignment="1">
      <alignment horizontal="right" vertical="center"/>
    </xf>
    <xf numFmtId="0" fontId="15" fillId="0" borderId="84" xfId="0" applyFont="1" applyBorder="1" applyAlignment="1">
      <alignment horizontal="right" vertical="center" shrinkToFit="1"/>
    </xf>
    <xf numFmtId="0" fontId="15" fillId="0" borderId="137" xfId="0" applyFont="1" applyBorder="1" applyAlignment="1">
      <alignment horizontal="right" vertical="center" shrinkToFit="1"/>
    </xf>
    <xf numFmtId="0" fontId="5" fillId="0" borderId="16" xfId="49" applyNumberFormat="1" applyFont="1" applyBorder="1" applyAlignment="1">
      <alignment horizontal="left" vertical="center" shrinkToFit="1"/>
    </xf>
    <xf numFmtId="0" fontId="1" fillId="0" borderId="16" xfId="0" applyNumberFormat="1" applyFont="1" applyBorder="1" applyAlignment="1">
      <alignment horizontal="left" vertical="center" shrinkToFit="1"/>
    </xf>
    <xf numFmtId="0" fontId="5" fillId="0" borderId="16"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6" xfId="0" applyFont="1" applyBorder="1" applyAlignment="1">
      <alignment vertical="center" shrinkToFit="1"/>
    </xf>
    <xf numFmtId="0" fontId="1" fillId="0" borderId="190" xfId="0" applyFont="1" applyBorder="1" applyAlignment="1">
      <alignment vertical="center" shrinkToFit="1"/>
    </xf>
    <xf numFmtId="0" fontId="1" fillId="0" borderId="0" xfId="0" applyFont="1" applyAlignment="1">
      <alignment horizontal="center" vertical="center" shrinkToFit="1"/>
    </xf>
    <xf numFmtId="0" fontId="5" fillId="0" borderId="16" xfId="0" applyFont="1" applyBorder="1" applyAlignment="1">
      <alignment horizontal="left" vertical="center" shrinkToFit="1"/>
    </xf>
    <xf numFmtId="0" fontId="1" fillId="0" borderId="16" xfId="0" applyFont="1" applyBorder="1" applyAlignment="1">
      <alignment horizontal="left" vertical="center" shrinkToFit="1"/>
    </xf>
    <xf numFmtId="192" fontId="1" fillId="0" borderId="0" xfId="0" applyNumberFormat="1" applyFont="1" applyAlignment="1">
      <alignment horizontal="center" vertical="center"/>
    </xf>
    <xf numFmtId="0" fontId="5" fillId="0" borderId="15" xfId="0" applyFont="1" applyBorder="1" applyAlignment="1">
      <alignment horizontal="center" vertical="center" shrinkToFit="1"/>
    </xf>
    <xf numFmtId="0" fontId="1" fillId="0" borderId="15" xfId="0" applyFont="1" applyBorder="1" applyAlignment="1">
      <alignment horizontal="center" vertical="center" shrinkToFit="1"/>
    </xf>
    <xf numFmtId="0" fontId="5" fillId="0" borderId="91" xfId="0" applyFont="1" applyBorder="1" applyAlignment="1">
      <alignment horizontal="center" vertical="center" shrinkToFit="1"/>
    </xf>
    <xf numFmtId="0" fontId="1" fillId="0" borderId="194" xfId="0" applyFont="1" applyBorder="1" applyAlignment="1">
      <alignment horizontal="center" vertical="center" shrinkToFit="1"/>
    </xf>
    <xf numFmtId="179" fontId="5" fillId="0" borderId="16" xfId="0" applyNumberFormat="1" applyFont="1" applyBorder="1" applyAlignment="1">
      <alignment horizontal="right" vertical="center" shrinkToFit="1"/>
    </xf>
    <xf numFmtId="179" fontId="1" fillId="0" borderId="16" xfId="0" applyNumberFormat="1" applyFont="1" applyBorder="1" applyAlignment="1">
      <alignment horizontal="right" vertical="center" shrinkToFit="1"/>
    </xf>
    <xf numFmtId="179" fontId="1" fillId="0" borderId="190" xfId="0" applyNumberFormat="1" applyFont="1" applyBorder="1" applyAlignment="1">
      <alignment horizontal="right" vertical="center" shrinkToFit="1"/>
    </xf>
    <xf numFmtId="0" fontId="5" fillId="0" borderId="79" xfId="0" applyFont="1" applyBorder="1" applyAlignment="1">
      <alignment horizontal="center" vertical="center" shrinkToFit="1"/>
    </xf>
    <xf numFmtId="0" fontId="5" fillId="0" borderId="195" xfId="0" applyFont="1" applyBorder="1" applyAlignment="1">
      <alignment horizontal="center" vertical="center" shrinkToFit="1"/>
    </xf>
    <xf numFmtId="0" fontId="5" fillId="0" borderId="195" xfId="0" applyFont="1" applyBorder="1" applyAlignment="1">
      <alignment vertical="center" shrinkToFit="1"/>
    </xf>
    <xf numFmtId="0" fontId="5" fillId="0" borderId="196" xfId="0" applyFont="1" applyBorder="1" applyAlignment="1">
      <alignment vertical="center" shrinkToFit="1"/>
    </xf>
    <xf numFmtId="0" fontId="5" fillId="0" borderId="194" xfId="0" applyFont="1" applyBorder="1" applyAlignment="1">
      <alignment vertical="center" shrinkToFit="1"/>
    </xf>
    <xf numFmtId="0" fontId="1" fillId="0" borderId="194" xfId="0" applyFont="1" applyBorder="1" applyAlignment="1">
      <alignment vertical="center" shrinkToFit="1"/>
    </xf>
    <xf numFmtId="0" fontId="1" fillId="0" borderId="197" xfId="0" applyFont="1" applyBorder="1" applyAlignment="1">
      <alignment vertical="center" shrinkToFit="1"/>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wrapText="1"/>
    </xf>
    <xf numFmtId="0" fontId="1" fillId="0" borderId="0" xfId="0" applyFont="1" applyAlignment="1">
      <alignment vertical="center" shrinkToFit="1"/>
    </xf>
    <xf numFmtId="0" fontId="5" fillId="0" borderId="198" xfId="0" applyFont="1" applyBorder="1" applyAlignment="1">
      <alignment vertical="center" shrinkToFit="1"/>
    </xf>
    <xf numFmtId="0" fontId="5" fillId="0" borderId="199" xfId="0"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5" fillId="0" borderId="80" xfId="0" applyFont="1" applyBorder="1" applyAlignment="1">
      <alignment horizontal="center" vertical="center" shrinkToFit="1"/>
    </xf>
    <xf numFmtId="0" fontId="5" fillId="0" borderId="198" xfId="0" applyFont="1" applyBorder="1" applyAlignment="1">
      <alignment horizontal="center" vertical="center" shrinkToFit="1"/>
    </xf>
    <xf numFmtId="0" fontId="59" fillId="0" borderId="0" xfId="0" applyFont="1" applyAlignment="1">
      <alignment horizontal="center" vertical="center"/>
    </xf>
    <xf numFmtId="0" fontId="5" fillId="0" borderId="62" xfId="0" applyFont="1" applyBorder="1" applyAlignment="1">
      <alignment horizontal="center" vertical="center" shrinkToFit="1"/>
    </xf>
    <xf numFmtId="0" fontId="1" fillId="0" borderId="53" xfId="0" applyFont="1" applyBorder="1" applyAlignment="1">
      <alignment horizontal="center" vertical="center" shrinkToFit="1"/>
    </xf>
    <xf numFmtId="0" fontId="7" fillId="0" borderId="200" xfId="0" applyFont="1" applyBorder="1" applyAlignment="1">
      <alignment horizontal="left" vertical="center" wrapText="1"/>
    </xf>
    <xf numFmtId="0" fontId="7" fillId="0" borderId="0" xfId="0" applyFont="1" applyBorder="1" applyAlignment="1">
      <alignment horizontal="left" vertical="center" wrapText="1"/>
    </xf>
    <xf numFmtId="0" fontId="5" fillId="0" borderId="69"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5" fillId="0" borderId="8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01" xfId="0" applyFont="1" applyBorder="1" applyAlignment="1">
      <alignment horizontal="left" vertical="center" wrapText="1" shrinkToFit="1"/>
    </xf>
    <xf numFmtId="0" fontId="5" fillId="0" borderId="200" xfId="0" applyFont="1" applyBorder="1" applyAlignment="1">
      <alignment horizontal="left" vertical="center" wrapText="1" shrinkToFit="1"/>
    </xf>
    <xf numFmtId="0" fontId="5" fillId="0" borderId="202"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4" xfId="0" applyFont="1" applyBorder="1" applyAlignment="1">
      <alignment horizontal="left" vertical="center" wrapText="1" shrinkToFit="1"/>
    </xf>
    <xf numFmtId="176" fontId="5" fillId="0" borderId="22" xfId="0" applyNumberFormat="1" applyFont="1" applyBorder="1" applyAlignment="1">
      <alignment horizontal="right" vertical="center" shrinkToFit="1"/>
    </xf>
    <xf numFmtId="176" fontId="1" fillId="0" borderId="96" xfId="0" applyNumberFormat="1" applyFont="1" applyBorder="1" applyAlignment="1">
      <alignment horizontal="right" vertical="center" shrinkToFit="1"/>
    </xf>
    <xf numFmtId="0" fontId="5" fillId="0" borderId="16" xfId="0" applyFont="1" applyBorder="1" applyAlignment="1">
      <alignment vertical="center" shrinkToFit="1"/>
    </xf>
    <xf numFmtId="0" fontId="5" fillId="0" borderId="69" xfId="0" applyFont="1" applyBorder="1" applyAlignment="1">
      <alignment horizontal="center" vertical="center" shrinkToFit="1"/>
    </xf>
    <xf numFmtId="0" fontId="1" fillId="0" borderId="23" xfId="0" applyFont="1" applyBorder="1" applyAlignment="1">
      <alignment horizontal="center" vertical="center" shrinkToFit="1"/>
    </xf>
    <xf numFmtId="0" fontId="5" fillId="0" borderId="191" xfId="0" applyFont="1" applyBorder="1" applyAlignment="1">
      <alignment horizontal="center" vertical="center" shrinkToFit="1"/>
    </xf>
    <xf numFmtId="0" fontId="1" fillId="0" borderId="17" xfId="0" applyFont="1" applyBorder="1" applyAlignment="1">
      <alignment vertical="center" shrinkToFit="1"/>
    </xf>
    <xf numFmtId="0" fontId="5" fillId="0" borderId="17"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92" xfId="0" applyFont="1" applyBorder="1" applyAlignment="1">
      <alignment vertical="center" shrinkToFit="1"/>
    </xf>
    <xf numFmtId="0" fontId="1" fillId="0" borderId="182" xfId="0" applyFont="1" applyBorder="1" applyAlignment="1">
      <alignment horizontal="center" vertical="center" shrinkToFit="1"/>
    </xf>
    <xf numFmtId="0" fontId="7" fillId="0" borderId="0" xfId="0" applyFont="1" applyAlignment="1">
      <alignment vertical="center"/>
    </xf>
    <xf numFmtId="0" fontId="5" fillId="0" borderId="89"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43" xfId="0" applyFont="1" applyBorder="1" applyAlignment="1">
      <alignment horizontal="center" vertical="center" shrinkToFit="1"/>
    </xf>
    <xf numFmtId="0" fontId="1" fillId="0" borderId="43" xfId="0" applyFont="1" applyBorder="1" applyAlignment="1">
      <alignment horizontal="center" vertical="center" shrinkToFit="1"/>
    </xf>
    <xf numFmtId="0" fontId="5" fillId="0" borderId="43" xfId="0" applyFont="1" applyBorder="1" applyAlignment="1">
      <alignment horizontal="center" vertical="center"/>
    </xf>
    <xf numFmtId="0" fontId="1" fillId="0" borderId="43" xfId="0" applyFont="1" applyBorder="1" applyAlignment="1">
      <alignment horizontal="center" vertical="center"/>
    </xf>
    <xf numFmtId="0" fontId="5" fillId="0" borderId="69" xfId="0" applyFont="1" applyBorder="1" applyAlignment="1">
      <alignment horizontal="left" vertical="center" wrapText="1"/>
    </xf>
    <xf numFmtId="0" fontId="5" fillId="0" borderId="25" xfId="0" applyFont="1" applyBorder="1" applyAlignment="1">
      <alignment horizontal="left" vertical="center" wrapText="1"/>
    </xf>
    <xf numFmtId="0" fontId="5" fillId="0" borderId="23" xfId="0" applyFont="1" applyBorder="1" applyAlignment="1">
      <alignment horizontal="left" vertical="center" wrapText="1"/>
    </xf>
    <xf numFmtId="0" fontId="5" fillId="0" borderId="8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8" fillId="0" borderId="201" xfId="0" applyFont="1" applyBorder="1" applyAlignment="1">
      <alignment vertical="center"/>
    </xf>
    <xf numFmtId="0" fontId="8" fillId="0" borderId="200" xfId="0" applyFont="1" applyBorder="1" applyAlignment="1">
      <alignment vertical="center"/>
    </xf>
    <xf numFmtId="0" fontId="8" fillId="0" borderId="202" xfId="0" applyFont="1" applyBorder="1" applyAlignment="1">
      <alignment vertical="center"/>
    </xf>
    <xf numFmtId="0" fontId="1" fillId="0" borderId="44"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192" fontId="1" fillId="0" borderId="0" xfId="0" applyNumberFormat="1" applyFont="1" applyBorder="1" applyAlignment="1">
      <alignment horizontal="center" vertical="center"/>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1" fillId="0" borderId="0" xfId="0" applyFont="1" applyBorder="1" applyAlignment="1">
      <alignment horizontal="left" vertical="center" wrapText="1" shrinkToFit="1"/>
    </xf>
    <xf numFmtId="0" fontId="8" fillId="0" borderId="203" xfId="0" applyFont="1" applyBorder="1" applyAlignment="1">
      <alignment horizontal="center" vertical="center"/>
    </xf>
    <xf numFmtId="0" fontId="8" fillId="0" borderId="204" xfId="0" applyFont="1" applyBorder="1" applyAlignment="1">
      <alignment horizontal="center" vertical="center"/>
    </xf>
    <xf numFmtId="0" fontId="8" fillId="0" borderId="205" xfId="0" applyFont="1" applyBorder="1" applyAlignment="1">
      <alignment horizontal="center" vertical="center"/>
    </xf>
    <xf numFmtId="0" fontId="1" fillId="0" borderId="201" xfId="0" applyFont="1" applyBorder="1" applyAlignment="1">
      <alignment horizontal="center" vertical="center"/>
    </xf>
    <xf numFmtId="0" fontId="1" fillId="0" borderId="200" xfId="0" applyFont="1" applyBorder="1" applyAlignment="1">
      <alignment horizontal="center" vertical="center"/>
    </xf>
    <xf numFmtId="0" fontId="1" fillId="0" borderId="202" xfId="0" applyFont="1" applyBorder="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vertical="center" shrinkToFit="1"/>
    </xf>
    <xf numFmtId="0" fontId="1" fillId="0" borderId="191" xfId="0" applyFont="1" applyBorder="1" applyAlignment="1">
      <alignment horizontal="center" vertical="center" shrinkToFit="1"/>
    </xf>
    <xf numFmtId="176" fontId="1" fillId="0" borderId="24" xfId="0" applyNumberFormat="1" applyFont="1" applyBorder="1" applyAlignment="1">
      <alignment horizontal="right" vertical="center" shrinkToFit="1"/>
    </xf>
    <xf numFmtId="176" fontId="1" fillId="0" borderId="20" xfId="0" applyNumberFormat="1" applyFont="1" applyBorder="1" applyAlignment="1">
      <alignment horizontal="right" vertical="center" shrinkToFit="1"/>
    </xf>
    <xf numFmtId="176" fontId="1" fillId="0" borderId="21" xfId="0" applyNumberFormat="1" applyFont="1" applyBorder="1" applyAlignment="1">
      <alignment horizontal="right" vertical="center" shrinkToFit="1"/>
    </xf>
    <xf numFmtId="0" fontId="1" fillId="0" borderId="46"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96"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1" xfId="0" applyFont="1" applyBorder="1" applyAlignment="1">
      <alignment vertical="center" shrinkToFit="1"/>
    </xf>
    <xf numFmtId="0" fontId="1" fillId="0" borderId="22" xfId="0" applyFont="1" applyBorder="1" applyAlignment="1">
      <alignment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99" xfId="0" applyFont="1" applyBorder="1" applyAlignment="1">
      <alignment horizontal="center" vertical="center" shrinkToFit="1"/>
    </xf>
    <xf numFmtId="192" fontId="1" fillId="0" borderId="0" xfId="0" applyNumberFormat="1" applyFont="1" applyAlignment="1">
      <alignment vertical="center"/>
    </xf>
    <xf numFmtId="0" fontId="1" fillId="0" borderId="27"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79" xfId="0" applyFont="1" applyBorder="1" applyAlignment="1">
      <alignment horizontal="center" vertical="center" wrapText="1" shrinkToFit="1"/>
    </xf>
    <xf numFmtId="0" fontId="1" fillId="0" borderId="195" xfId="0" applyFont="1" applyBorder="1" applyAlignment="1">
      <alignment horizontal="center" vertical="center" wrapText="1" shrinkToFit="1"/>
    </xf>
    <xf numFmtId="0" fontId="1" fillId="0" borderId="80" xfId="0" applyFont="1" applyBorder="1" applyAlignment="1">
      <alignment horizontal="center" vertical="center" wrapText="1" shrinkToFit="1"/>
    </xf>
    <xf numFmtId="0" fontId="1" fillId="0" borderId="198" xfId="0" applyFont="1" applyBorder="1" applyAlignment="1">
      <alignment horizontal="center" vertical="center" wrapText="1" shrinkToFit="1"/>
    </xf>
    <xf numFmtId="0" fontId="1" fillId="0" borderId="195" xfId="0" applyFont="1" applyBorder="1" applyAlignment="1">
      <alignment horizontal="center" vertical="center"/>
    </xf>
    <xf numFmtId="0" fontId="1" fillId="0" borderId="198" xfId="0" applyFont="1" applyBorder="1" applyAlignment="1">
      <alignment vertical="center"/>
    </xf>
    <xf numFmtId="0" fontId="1" fillId="0" borderId="195" xfId="0" applyFont="1" applyBorder="1" applyAlignment="1">
      <alignment horizontal="left" vertical="center" wrapText="1" shrinkToFit="1"/>
    </xf>
    <xf numFmtId="0" fontId="1" fillId="0" borderId="196" xfId="0" applyFont="1" applyBorder="1" applyAlignment="1">
      <alignment horizontal="left" vertical="center" wrapText="1" shrinkToFit="1"/>
    </xf>
    <xf numFmtId="0" fontId="1" fillId="0" borderId="198" xfId="0" applyFont="1" applyBorder="1" applyAlignment="1">
      <alignment horizontal="left" vertical="center" wrapText="1" shrinkToFit="1"/>
    </xf>
    <xf numFmtId="0" fontId="1" fillId="0" borderId="199" xfId="0" applyFont="1" applyBorder="1" applyAlignment="1">
      <alignment horizontal="left" vertical="center" wrapText="1" shrinkToFit="1"/>
    </xf>
    <xf numFmtId="0" fontId="1" fillId="0" borderId="79" xfId="0" applyFont="1" applyBorder="1" applyAlignment="1">
      <alignment horizontal="center" vertical="center" wrapText="1"/>
    </xf>
    <xf numFmtId="0" fontId="1" fillId="0" borderId="195"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194" xfId="0" applyFont="1" applyBorder="1" applyAlignment="1">
      <alignment horizontal="center" vertical="center" wrapText="1"/>
    </xf>
    <xf numFmtId="0" fontId="1" fillId="0" borderId="16" xfId="0" applyFont="1" applyBorder="1" applyAlignment="1">
      <alignment horizontal="center" vertical="center"/>
    </xf>
    <xf numFmtId="0" fontId="1" fillId="0" borderId="194" xfId="0" applyFont="1" applyBorder="1" applyAlignment="1">
      <alignment horizontal="center" vertical="center"/>
    </xf>
    <xf numFmtId="0" fontId="1" fillId="0" borderId="206" xfId="0" applyFont="1" applyBorder="1" applyAlignment="1">
      <alignment horizontal="center" vertical="center" shrinkToFit="1"/>
    </xf>
    <xf numFmtId="0" fontId="1" fillId="0" borderId="207" xfId="0" applyFont="1" applyBorder="1" applyAlignment="1">
      <alignment horizontal="center" vertical="center" wrapText="1"/>
    </xf>
    <xf numFmtId="0" fontId="1" fillId="0" borderId="208"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198" xfId="0" applyFont="1" applyBorder="1" applyAlignment="1">
      <alignment horizontal="center" vertical="center" wrapText="1"/>
    </xf>
    <xf numFmtId="0" fontId="1" fillId="0" borderId="209" xfId="0" applyFont="1" applyBorder="1" applyAlignment="1">
      <alignment horizontal="left" vertical="center" wrapText="1" shrinkToFit="1"/>
    </xf>
    <xf numFmtId="0" fontId="1" fillId="0" borderId="210" xfId="0" applyFont="1" applyBorder="1" applyAlignment="1">
      <alignment horizontal="left" vertical="center" wrapText="1" shrinkToFit="1"/>
    </xf>
    <xf numFmtId="0" fontId="1" fillId="0" borderId="211" xfId="0" applyFont="1" applyBorder="1" applyAlignment="1">
      <alignment horizontal="left" vertical="center" wrapText="1" shrinkToFit="1"/>
    </xf>
    <xf numFmtId="0" fontId="1" fillId="0" borderId="206" xfId="0"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212" xfId="0" applyFont="1" applyBorder="1" applyAlignment="1">
      <alignment horizontal="left" vertical="center" wrapText="1" shrinkToFit="1"/>
    </xf>
    <xf numFmtId="0" fontId="1" fillId="0" borderId="84" xfId="0" applyFont="1" applyBorder="1" applyAlignment="1">
      <alignment horizontal="left" vertical="center" wrapText="1" shrinkToFit="1"/>
    </xf>
    <xf numFmtId="0" fontId="1" fillId="0" borderId="85" xfId="0" applyFont="1" applyBorder="1" applyAlignment="1">
      <alignment horizontal="left" vertical="center" wrapText="1" shrinkToFit="1"/>
    </xf>
    <xf numFmtId="0" fontId="1" fillId="0" borderId="16" xfId="0" applyFont="1" applyBorder="1" applyAlignment="1">
      <alignment vertical="center"/>
    </xf>
    <xf numFmtId="0" fontId="1" fillId="0" borderId="190" xfId="0" applyFont="1" applyBorder="1" applyAlignment="1">
      <alignment vertical="center"/>
    </xf>
    <xf numFmtId="184" fontId="1" fillId="0" borderId="213" xfId="0" applyNumberFormat="1" applyFont="1" applyBorder="1" applyAlignment="1">
      <alignment horizontal="center" vertical="center" shrinkToFit="1"/>
    </xf>
    <xf numFmtId="184" fontId="1" fillId="0" borderId="197" xfId="0" applyNumberFormat="1" applyFont="1" applyBorder="1" applyAlignment="1">
      <alignment horizontal="center" vertical="center" shrinkToFit="1"/>
    </xf>
    <xf numFmtId="184" fontId="1" fillId="0" borderId="214" xfId="0" applyNumberFormat="1" applyFont="1" applyBorder="1" applyAlignment="1">
      <alignment horizontal="center" vertical="center" shrinkToFit="1"/>
    </xf>
    <xf numFmtId="180" fontId="1" fillId="0" borderId="208" xfId="0" applyNumberFormat="1" applyFont="1" applyBorder="1" applyAlignment="1">
      <alignment horizontal="center" vertical="center" shrinkToFit="1"/>
    </xf>
    <xf numFmtId="180" fontId="1" fillId="0" borderId="194" xfId="0" applyNumberFormat="1" applyFont="1" applyBorder="1" applyAlignment="1">
      <alignment horizontal="center" vertical="center" shrinkToFit="1"/>
    </xf>
    <xf numFmtId="180" fontId="1" fillId="0" borderId="215" xfId="0" applyNumberFormat="1" applyFont="1" applyBorder="1" applyAlignment="1">
      <alignment horizontal="center" vertical="center" shrinkToFit="1"/>
    </xf>
    <xf numFmtId="0" fontId="1" fillId="0" borderId="22"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0" xfId="0" applyFont="1" applyAlignment="1">
      <alignment horizontal="left" vertical="center" shrinkToFit="1"/>
    </xf>
    <xf numFmtId="0" fontId="5" fillId="0" borderId="20" xfId="0" applyFont="1" applyBorder="1" applyAlignment="1">
      <alignment vertical="center"/>
    </xf>
    <xf numFmtId="0" fontId="5" fillId="0" borderId="21" xfId="0" applyFont="1" applyBorder="1" applyAlignment="1">
      <alignment vertical="center"/>
    </xf>
    <xf numFmtId="0" fontId="1" fillId="0" borderId="100" xfId="0" applyFont="1" applyBorder="1" applyAlignment="1">
      <alignment horizontal="center" vertical="center"/>
    </xf>
    <xf numFmtId="0" fontId="1" fillId="0" borderId="191" xfId="0" applyFont="1" applyBorder="1" applyAlignment="1">
      <alignment vertical="center"/>
    </xf>
    <xf numFmtId="0" fontId="1" fillId="0" borderId="17" xfId="0" applyFont="1" applyBorder="1" applyAlignment="1">
      <alignment vertical="center"/>
    </xf>
    <xf numFmtId="0" fontId="1" fillId="0" borderId="10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xf>
    <xf numFmtId="0" fontId="1" fillId="0" borderId="22" xfId="0" applyFont="1" applyBorder="1" applyAlignment="1">
      <alignment vertical="center"/>
    </xf>
    <xf numFmtId="0" fontId="1" fillId="0" borderId="0" xfId="0" applyFont="1" applyAlignment="1">
      <alignment horizontal="right" vertical="center"/>
    </xf>
    <xf numFmtId="179" fontId="1" fillId="0" borderId="16" xfId="0" applyNumberFormat="1" applyFont="1" applyBorder="1" applyAlignment="1">
      <alignment vertical="center"/>
    </xf>
    <xf numFmtId="179" fontId="1" fillId="0" borderId="190" xfId="0" applyNumberFormat="1" applyFont="1" applyBorder="1" applyAlignment="1">
      <alignment vertical="center"/>
    </xf>
    <xf numFmtId="0" fontId="1" fillId="0" borderId="210" xfId="0" applyFont="1" applyBorder="1" applyAlignment="1">
      <alignment vertical="center" wrapText="1" shrinkToFit="1"/>
    </xf>
    <xf numFmtId="0" fontId="1" fillId="0" borderId="211" xfId="0" applyFont="1" applyBorder="1" applyAlignment="1">
      <alignment vertical="center" wrapText="1" shrinkToFit="1"/>
    </xf>
    <xf numFmtId="0" fontId="1" fillId="0" borderId="0" xfId="0" applyFont="1" applyBorder="1" applyAlignment="1">
      <alignment vertical="center" wrapText="1" shrinkToFit="1"/>
    </xf>
    <xf numFmtId="0" fontId="1" fillId="0" borderId="13" xfId="0" applyFont="1" applyBorder="1" applyAlignment="1">
      <alignment vertical="center" wrapText="1" shrinkToFit="1"/>
    </xf>
    <xf numFmtId="0" fontId="1" fillId="0" borderId="84" xfId="0" applyFont="1" applyBorder="1" applyAlignment="1">
      <alignment vertical="center" wrapText="1" shrinkToFit="1"/>
    </xf>
    <xf numFmtId="0" fontId="1" fillId="0" borderId="85" xfId="0" applyFont="1" applyBorder="1" applyAlignment="1">
      <alignment vertical="center" wrapText="1" shrinkToFit="1"/>
    </xf>
    <xf numFmtId="0" fontId="1" fillId="0" borderId="19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1" fillId="0" borderId="25" xfId="0" applyFont="1" applyBorder="1" applyAlignment="1">
      <alignment vertical="center"/>
    </xf>
    <xf numFmtId="0" fontId="1" fillId="0" borderId="216" xfId="0" applyFont="1" applyBorder="1" applyAlignment="1">
      <alignment vertical="center" shrinkToFit="1"/>
    </xf>
    <xf numFmtId="0" fontId="1" fillId="0" borderId="217" xfId="0" applyFont="1" applyBorder="1" applyAlignment="1">
      <alignment vertical="center" shrinkToFit="1"/>
    </xf>
    <xf numFmtId="0" fontId="1" fillId="0" borderId="26" xfId="0" applyFont="1" applyBorder="1" applyAlignment="1">
      <alignment vertical="center" shrinkToFit="1"/>
    </xf>
    <xf numFmtId="0" fontId="1" fillId="0" borderId="25" xfId="0" applyFont="1" applyBorder="1" applyAlignment="1">
      <alignment vertical="center" shrinkToFit="1"/>
    </xf>
    <xf numFmtId="0" fontId="1" fillId="0" borderId="88" xfId="0" applyFont="1" applyBorder="1" applyAlignment="1">
      <alignment vertical="center" shrinkToFit="1"/>
    </xf>
    <xf numFmtId="0" fontId="1" fillId="0" borderId="100" xfId="0" applyFont="1" applyBorder="1" applyAlignment="1">
      <alignment vertical="center" textRotation="255"/>
    </xf>
    <xf numFmtId="0" fontId="1" fillId="0" borderId="12" xfId="0" applyFont="1" applyBorder="1" applyAlignment="1">
      <alignment horizontal="center" vertical="center"/>
    </xf>
    <xf numFmtId="0" fontId="1" fillId="0" borderId="218" xfId="0" applyFont="1" applyBorder="1" applyAlignment="1">
      <alignment horizontal="center" vertical="center"/>
    </xf>
    <xf numFmtId="0" fontId="0" fillId="0" borderId="45" xfId="0" applyBorder="1" applyAlignment="1">
      <alignment horizontal="center" vertical="center"/>
    </xf>
    <xf numFmtId="0" fontId="0" fillId="0" borderId="219" xfId="0" applyBorder="1" applyAlignment="1">
      <alignment horizontal="center" vertical="center"/>
    </xf>
    <xf numFmtId="0" fontId="1" fillId="0" borderId="96" xfId="0" applyFont="1" applyBorder="1" applyAlignment="1">
      <alignment vertical="center" shrinkToFit="1"/>
    </xf>
    <xf numFmtId="0" fontId="1" fillId="0" borderId="190" xfId="0" applyFont="1" applyBorder="1" applyAlignment="1">
      <alignment horizontal="center" vertical="center"/>
    </xf>
    <xf numFmtId="192" fontId="1" fillId="0" borderId="0" xfId="0" applyNumberFormat="1" applyFont="1" applyAlignment="1">
      <alignment horizontal="right" vertical="center"/>
    </xf>
    <xf numFmtId="0" fontId="1" fillId="0" borderId="0" xfId="0" applyFont="1" applyAlignment="1">
      <alignment horizontal="distributed" vertical="center"/>
    </xf>
    <xf numFmtId="176" fontId="1" fillId="0" borderId="16" xfId="0" applyNumberFormat="1" applyFont="1" applyBorder="1" applyAlignment="1">
      <alignment vertical="center" wrapText="1"/>
    </xf>
    <xf numFmtId="176" fontId="1" fillId="0" borderId="190" xfId="0" applyNumberFormat="1" applyFont="1" applyBorder="1" applyAlignment="1">
      <alignment vertical="center" wrapText="1"/>
    </xf>
    <xf numFmtId="0" fontId="1" fillId="0" borderId="0" xfId="0" applyFont="1" applyAlignment="1">
      <alignment vertical="center" wrapText="1" shrinkToFit="1"/>
    </xf>
    <xf numFmtId="0" fontId="1" fillId="0" borderId="0" xfId="0" applyNumberFormat="1" applyFont="1" applyAlignment="1">
      <alignment horizontal="left" vertical="center" shrinkToFit="1"/>
    </xf>
    <xf numFmtId="0" fontId="1" fillId="0" borderId="0" xfId="0" applyNumberFormat="1" applyFont="1" applyAlignment="1">
      <alignment vertical="center" shrinkToFit="1"/>
    </xf>
    <xf numFmtId="0" fontId="68" fillId="0" borderId="0" xfId="0" applyFont="1" applyAlignment="1">
      <alignment horizontal="center" vertical="center"/>
    </xf>
    <xf numFmtId="176" fontId="1" fillId="0" borderId="0" xfId="0" applyNumberFormat="1" applyFont="1" applyAlignment="1">
      <alignment horizontal="left" vertical="center"/>
    </xf>
    <xf numFmtId="0" fontId="1" fillId="0" borderId="15" xfId="0" applyFont="1" applyBorder="1" applyAlignment="1">
      <alignment horizontal="center" vertical="center" wrapText="1"/>
    </xf>
    <xf numFmtId="0" fontId="1" fillId="0" borderId="182" xfId="0" applyFont="1" applyBorder="1" applyAlignment="1">
      <alignment horizontal="center" vertical="center" wrapText="1"/>
    </xf>
    <xf numFmtId="38" fontId="1" fillId="0" borderId="46" xfId="0" applyNumberFormat="1" applyFont="1" applyBorder="1" applyAlignment="1">
      <alignment horizontal="center" vertical="center" shrinkToFit="1"/>
    </xf>
    <xf numFmtId="38" fontId="1" fillId="0" borderId="191" xfId="0" applyNumberFormat="1" applyFont="1" applyBorder="1" applyAlignment="1">
      <alignment horizontal="center" vertical="center" shrinkToFit="1"/>
    </xf>
    <xf numFmtId="176" fontId="1" fillId="0" borderId="17" xfId="0" applyNumberFormat="1" applyFont="1" applyBorder="1" applyAlignment="1">
      <alignment vertical="center" wrapText="1"/>
    </xf>
    <xf numFmtId="176" fontId="1" fillId="0" borderId="192" xfId="0" applyNumberFormat="1" applyFont="1" applyBorder="1" applyAlignment="1">
      <alignment vertical="center" wrapText="1"/>
    </xf>
    <xf numFmtId="0" fontId="1" fillId="0" borderId="15" xfId="0" applyFont="1" applyBorder="1" applyAlignment="1">
      <alignment vertical="center" shrinkToFit="1"/>
    </xf>
    <xf numFmtId="38" fontId="1" fillId="0" borderId="100" xfId="0" applyNumberFormat="1" applyFont="1" applyBorder="1" applyAlignment="1">
      <alignment horizontal="center" vertical="center" shrinkToFit="1"/>
    </xf>
    <xf numFmtId="176" fontId="1" fillId="0" borderId="0" xfId="0" applyNumberFormat="1" applyFont="1" applyAlignment="1">
      <alignment horizontal="left" vertical="center" shrinkToFit="1"/>
    </xf>
    <xf numFmtId="178" fontId="1" fillId="0" borderId="0" xfId="0" applyNumberFormat="1" applyFont="1" applyAlignment="1">
      <alignment horizontal="right" vertical="center"/>
    </xf>
    <xf numFmtId="192" fontId="1" fillId="0" borderId="0" xfId="0" applyNumberFormat="1" applyFont="1" applyAlignment="1">
      <alignment horizontal="left" vertical="center"/>
    </xf>
    <xf numFmtId="0" fontId="60" fillId="0" borderId="0" xfId="0" applyFont="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99" xfId="0" applyFont="1" applyFill="1" applyBorder="1" applyAlignment="1">
      <alignment horizontal="center" vertical="center" shrinkToFit="1"/>
    </xf>
    <xf numFmtId="0" fontId="5" fillId="24" borderId="15" xfId="0" applyFont="1" applyFill="1" applyBorder="1" applyAlignment="1">
      <alignment horizontal="center" vertical="center" shrinkToFit="1"/>
    </xf>
    <xf numFmtId="0" fontId="5" fillId="24" borderId="100"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91" xfId="0" applyFont="1" applyFill="1" applyBorder="1" applyAlignment="1">
      <alignment horizontal="center" vertical="center" shrinkToFit="1"/>
    </xf>
    <xf numFmtId="0" fontId="5" fillId="24" borderId="17" xfId="0" applyFont="1" applyFill="1" applyBorder="1" applyAlignment="1">
      <alignment horizontal="center" vertical="center" shrinkToFit="1"/>
    </xf>
    <xf numFmtId="0" fontId="5" fillId="0" borderId="192" xfId="0" applyFont="1" applyBorder="1" applyAlignment="1">
      <alignment horizontal="center" vertical="center" shrinkToFit="1"/>
    </xf>
    <xf numFmtId="0" fontId="5" fillId="0" borderId="15" xfId="0" applyFont="1" applyBorder="1" applyAlignment="1">
      <alignment vertical="center" shrinkToFit="1"/>
    </xf>
    <xf numFmtId="0" fontId="5" fillId="0" borderId="190" xfId="0" applyFont="1" applyBorder="1" applyAlignment="1">
      <alignment horizontal="left" vertical="center" shrinkToFit="1"/>
    </xf>
    <xf numFmtId="0" fontId="5" fillId="0" borderId="17" xfId="0" applyFont="1" applyBorder="1" applyAlignment="1">
      <alignment horizontal="center" vertical="center"/>
    </xf>
    <xf numFmtId="0" fontId="5" fillId="0" borderId="192" xfId="0" applyFont="1" applyBorder="1" applyAlignment="1">
      <alignment horizontal="center" vertical="center"/>
    </xf>
    <xf numFmtId="0" fontId="5" fillId="0" borderId="15" xfId="0" applyFont="1" applyBorder="1" applyAlignment="1">
      <alignment horizontal="left" vertical="center" shrinkToFit="1"/>
    </xf>
    <xf numFmtId="0" fontId="5" fillId="0" borderId="182" xfId="0" applyFont="1" applyBorder="1" applyAlignment="1">
      <alignment horizontal="left" vertical="center" shrinkToFit="1"/>
    </xf>
    <xf numFmtId="0" fontId="5" fillId="24" borderId="99" xfId="0" applyFont="1" applyFill="1" applyBorder="1" applyAlignment="1">
      <alignment horizontal="center" vertical="center"/>
    </xf>
    <xf numFmtId="0" fontId="5" fillId="0" borderId="100"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190" xfId="0" applyFont="1" applyBorder="1" applyAlignment="1">
      <alignment horizontal="center" vertical="center"/>
    </xf>
    <xf numFmtId="0" fontId="5" fillId="24" borderId="182" xfId="0" applyFont="1" applyFill="1" applyBorder="1" applyAlignment="1">
      <alignment horizontal="center" vertical="center"/>
    </xf>
    <xf numFmtId="0" fontId="5" fillId="24" borderId="190" xfId="0" applyFont="1" applyFill="1" applyBorder="1" applyAlignment="1">
      <alignment horizontal="center" vertical="center"/>
    </xf>
    <xf numFmtId="0" fontId="5" fillId="0" borderId="191" xfId="0" applyFont="1" applyBorder="1" applyAlignment="1">
      <alignment vertical="center"/>
    </xf>
    <xf numFmtId="0" fontId="5" fillId="0" borderId="17" xfId="0" applyFont="1" applyBorder="1" applyAlignment="1">
      <alignment vertical="center"/>
    </xf>
    <xf numFmtId="0" fontId="5" fillId="24" borderId="100" xfId="0" applyFont="1" applyFill="1" applyBorder="1" applyAlignment="1">
      <alignment horizontal="center" vertical="center"/>
    </xf>
    <xf numFmtId="0" fontId="5" fillId="24" borderId="191" xfId="0" applyFont="1" applyFill="1" applyBorder="1" applyAlignment="1">
      <alignment horizontal="center" vertical="center"/>
    </xf>
    <xf numFmtId="0" fontId="5" fillId="24" borderId="17" xfId="0" applyFont="1" applyFill="1" applyBorder="1" applyAlignment="1">
      <alignment horizontal="center" vertical="center"/>
    </xf>
    <xf numFmtId="0" fontId="5" fillId="0" borderId="2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5" xfId="0" applyFont="1" applyBorder="1" applyAlignment="1">
      <alignment horizontal="center" vertical="center"/>
    </xf>
    <xf numFmtId="0" fontId="5" fillId="0" borderId="182" xfId="0" applyFont="1" applyBorder="1" applyAlignment="1">
      <alignment horizontal="center" vertical="center"/>
    </xf>
    <xf numFmtId="0" fontId="5" fillId="0" borderId="100" xfId="0" applyFont="1" applyBorder="1" applyAlignment="1">
      <alignment horizontal="center" vertical="center"/>
    </xf>
    <xf numFmtId="0" fontId="5" fillId="0" borderId="9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91" xfId="0" applyFont="1" applyBorder="1" applyAlignment="1">
      <alignment horizontal="center" vertical="center"/>
    </xf>
    <xf numFmtId="0" fontId="5" fillId="0" borderId="99" xfId="0" applyFont="1" applyBorder="1" applyAlignment="1">
      <alignment horizontal="center" vertical="center"/>
    </xf>
    <xf numFmtId="0" fontId="4" fillId="0" borderId="0" xfId="0" applyFont="1" applyAlignment="1">
      <alignment horizontal="center" vertical="center" shrinkToFit="1"/>
    </xf>
    <xf numFmtId="0" fontId="5" fillId="0" borderId="0" xfId="0" applyFont="1" applyAlignment="1">
      <alignment vertical="center"/>
    </xf>
    <xf numFmtId="0" fontId="1" fillId="0" borderId="192" xfId="0" applyFont="1" applyBorder="1" applyAlignment="1">
      <alignment horizontal="center" vertical="center"/>
    </xf>
    <xf numFmtId="0" fontId="5" fillId="0" borderId="100" xfId="0" applyFont="1" applyFill="1" applyBorder="1" applyAlignment="1">
      <alignment vertical="center"/>
    </xf>
    <xf numFmtId="0" fontId="5" fillId="0" borderId="191" xfId="0" applyFont="1" applyFill="1" applyBorder="1" applyAlignment="1">
      <alignment vertical="center"/>
    </xf>
    <xf numFmtId="0" fontId="5" fillId="0" borderId="0" xfId="0" applyFont="1" applyAlignment="1">
      <alignment vertical="center" wrapText="1"/>
    </xf>
    <xf numFmtId="0" fontId="1" fillId="0" borderId="101" xfId="0" applyFont="1" applyBorder="1" applyAlignment="1">
      <alignment horizontal="center" vertical="center" shrinkToFit="1"/>
    </xf>
    <xf numFmtId="0" fontId="1" fillId="0" borderId="102" xfId="0" applyFont="1" applyBorder="1" applyAlignment="1">
      <alignment horizontal="center" vertical="center" shrinkToFit="1"/>
    </xf>
    <xf numFmtId="0" fontId="10" fillId="0" borderId="0" xfId="0" applyFont="1" applyAlignment="1">
      <alignment horizontal="center" shrinkToFit="1"/>
    </xf>
    <xf numFmtId="192" fontId="10" fillId="0" borderId="0" xfId="0" applyNumberFormat="1" applyFont="1" applyAlignment="1">
      <alignment horizontal="center" shrinkToFit="1"/>
    </xf>
    <xf numFmtId="0" fontId="1" fillId="0" borderId="29" xfId="0" applyFont="1" applyBorder="1" applyAlignment="1">
      <alignment horizontal="center" shrinkToFit="1"/>
    </xf>
    <xf numFmtId="0" fontId="1" fillId="0" borderId="29" xfId="0" applyFont="1" applyBorder="1" applyAlignment="1" applyProtection="1">
      <alignment horizontal="center" vertical="center" shrinkToFit="1"/>
      <protection locked="0"/>
    </xf>
    <xf numFmtId="0" fontId="10" fillId="0" borderId="0" xfId="0" applyFont="1" applyAlignment="1">
      <alignment shrinkToFit="1"/>
    </xf>
    <xf numFmtId="192" fontId="10" fillId="0" borderId="0" xfId="0" applyNumberFormat="1" applyFont="1" applyAlignment="1" applyProtection="1">
      <alignment horizontal="center" shrinkToFit="1"/>
      <protection locked="0"/>
    </xf>
    <xf numFmtId="0" fontId="10" fillId="0" borderId="0" xfId="0" applyFont="1" applyAlignment="1" applyProtection="1">
      <alignment shrinkToFit="1"/>
      <protection locked="0"/>
    </xf>
    <xf numFmtId="0" fontId="8" fillId="0" borderId="0" xfId="0" applyFont="1" applyAlignment="1">
      <alignment horizontal="center" vertical="center"/>
    </xf>
    <xf numFmtId="0" fontId="9" fillId="0" borderId="0" xfId="0" applyFont="1" applyAlignment="1">
      <alignment vertical="center"/>
    </xf>
    <xf numFmtId="0" fontId="0" fillId="0" borderId="39"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22" borderId="220" xfId="0" applyNumberFormat="1" applyFont="1" applyFill="1" applyBorder="1" applyAlignment="1" applyProtection="1">
      <alignment horizontal="right" vertical="center" wrapText="1"/>
      <protection locked="0"/>
    </xf>
    <xf numFmtId="0" fontId="0" fillId="22" borderId="146" xfId="0" applyNumberFormat="1" applyFont="1" applyFill="1" applyBorder="1" applyAlignment="1" applyProtection="1">
      <alignment horizontal="right" vertical="center" wrapText="1"/>
      <protection locked="0"/>
    </xf>
    <xf numFmtId="0" fontId="0" fillId="0" borderId="146" xfId="0" applyNumberFormat="1" applyFont="1" applyBorder="1" applyAlignment="1" applyProtection="1">
      <alignment horizontal="right" vertical="center" wrapText="1"/>
      <protection locked="0"/>
    </xf>
    <xf numFmtId="0" fontId="0" fillId="0" borderId="168" xfId="0" applyNumberFormat="1" applyFont="1" applyBorder="1" applyAlignment="1" applyProtection="1">
      <alignment horizontal="righ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indexed="26"/>
        </patternFill>
      </fill>
    </dxf>
    <dxf>
      <fill>
        <patternFill>
          <bgColor indexed="27"/>
        </patternFill>
      </fill>
    </dxf>
    <dxf>
      <font>
        <color auto="1"/>
      </font>
      <fill>
        <patternFill>
          <bgColor indexed="26"/>
        </patternFill>
      </fill>
    </dxf>
    <dxf>
      <font>
        <b/>
        <i val="0"/>
        <color indexed="12"/>
      </font>
    </dxf>
    <dxf>
      <font>
        <color auto="1"/>
      </font>
      <fill>
        <patternFill>
          <bgColor indexed="26"/>
        </patternFill>
      </fill>
    </dxf>
    <dxf>
      <font>
        <b/>
        <i val="0"/>
        <color indexed="12"/>
      </font>
      <fill>
        <patternFill patternType="none">
          <bgColor indexed="65"/>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0</xdr:row>
      <xdr:rowOff>123825</xdr:rowOff>
    </xdr:from>
    <xdr:to>
      <xdr:col>3</xdr:col>
      <xdr:colOff>171450</xdr:colOff>
      <xdr:row>1</xdr:row>
      <xdr:rowOff>152400</xdr:rowOff>
    </xdr:to>
    <xdr:pic>
      <xdr:nvPicPr>
        <xdr:cNvPr id="1" name="cmdRunMacro"/>
        <xdr:cNvPicPr preferRelativeResize="1">
          <a:picLocks noChangeAspect="1"/>
        </xdr:cNvPicPr>
      </xdr:nvPicPr>
      <xdr:blipFill>
        <a:blip r:embed="rId1"/>
        <a:stretch>
          <a:fillRect/>
        </a:stretch>
      </xdr:blipFill>
      <xdr:spPr>
        <a:xfrm>
          <a:off x="133350" y="123825"/>
          <a:ext cx="132397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tPulldownItems"/>
  <dimension ref="A1:X178"/>
  <sheetViews>
    <sheetView zoomScalePageLayoutView="0" workbookViewId="0" topLeftCell="F1">
      <selection activeCell="H1" sqref="H1:I8"/>
    </sheetView>
  </sheetViews>
  <sheetFormatPr defaultColWidth="9.00390625" defaultRowHeight="13.5"/>
  <cols>
    <col min="1" max="1" width="3.75390625" style="83" bestFit="1" customWidth="1"/>
    <col min="2" max="2" width="11.875" style="83" bestFit="1" customWidth="1"/>
    <col min="3" max="3" width="9.00390625" style="83" customWidth="1"/>
    <col min="4" max="4" width="3.75390625" style="83" bestFit="1" customWidth="1"/>
    <col min="5" max="5" width="41.50390625" style="83" bestFit="1" customWidth="1"/>
    <col min="6" max="6" width="7.50390625" style="83" customWidth="1"/>
    <col min="7" max="7" width="4.50390625" style="83" bestFit="1" customWidth="1"/>
    <col min="8" max="8" width="29.50390625" style="83" bestFit="1" customWidth="1"/>
    <col min="9" max="9" width="38.875" style="0" bestFit="1" customWidth="1"/>
    <col min="10" max="10" width="9.00390625" style="83" customWidth="1"/>
    <col min="11" max="11" width="3.75390625" style="83" bestFit="1" customWidth="1"/>
    <col min="12" max="12" width="21.375" style="83" bestFit="1" customWidth="1"/>
    <col min="13" max="13" width="9.00390625" style="83" customWidth="1"/>
    <col min="14" max="14" width="3.75390625" style="83" bestFit="1" customWidth="1"/>
    <col min="15" max="15" width="77.00390625" style="83" bestFit="1" customWidth="1"/>
    <col min="16" max="16" width="9.00390625" style="83" customWidth="1"/>
    <col min="17" max="17" width="3.75390625" style="83" bestFit="1" customWidth="1"/>
    <col min="18" max="18" width="11.875" style="83" bestFit="1" customWidth="1"/>
    <col min="19" max="19" width="9.00390625" style="83" customWidth="1"/>
    <col min="20" max="20" width="3.75390625" style="83" bestFit="1" customWidth="1"/>
    <col min="21" max="21" width="31.75390625" style="83" bestFit="1" customWidth="1"/>
    <col min="22" max="22" width="9.00390625" style="83" customWidth="1"/>
    <col min="23" max="23" width="3.75390625" style="83" bestFit="1" customWidth="1"/>
    <col min="24" max="24" width="59.75390625" style="83" bestFit="1" customWidth="1"/>
    <col min="25" max="16384" width="9.00390625" style="83" customWidth="1"/>
  </cols>
  <sheetData>
    <row r="1" spans="1:24" s="81" customFormat="1" ht="14.25" thickBot="1">
      <c r="A1" s="85" t="s">
        <v>1025</v>
      </c>
      <c r="B1" s="80" t="s">
        <v>467</v>
      </c>
      <c r="D1" s="79" t="s">
        <v>1022</v>
      </c>
      <c r="E1" s="80" t="s">
        <v>1023</v>
      </c>
      <c r="G1" s="79" t="s">
        <v>423</v>
      </c>
      <c r="H1" s="242" t="s">
        <v>424</v>
      </c>
      <c r="I1" s="238" t="s">
        <v>1024</v>
      </c>
      <c r="K1" s="79" t="s">
        <v>1022</v>
      </c>
      <c r="L1" s="80" t="s">
        <v>1140</v>
      </c>
      <c r="N1" s="85" t="s">
        <v>1025</v>
      </c>
      <c r="O1" s="80" t="s">
        <v>789</v>
      </c>
      <c r="Q1" s="85" t="s">
        <v>1025</v>
      </c>
      <c r="R1" s="80" t="s">
        <v>1102</v>
      </c>
      <c r="T1" s="85" t="s">
        <v>1025</v>
      </c>
      <c r="U1" s="80" t="s">
        <v>1103</v>
      </c>
      <c r="W1" s="85" t="s">
        <v>1025</v>
      </c>
      <c r="X1" s="80" t="s">
        <v>1110</v>
      </c>
    </row>
    <row r="2" spans="1:24" ht="13.5">
      <c r="A2" s="87">
        <v>1</v>
      </c>
      <c r="B2" s="53" t="s">
        <v>1099</v>
      </c>
      <c r="D2" s="82">
        <v>1</v>
      </c>
      <c r="E2" s="53" t="s">
        <v>673</v>
      </c>
      <c r="G2" s="245">
        <v>1</v>
      </c>
      <c r="H2" s="243" t="s">
        <v>676</v>
      </c>
      <c r="I2" s="239" t="s">
        <v>673</v>
      </c>
      <c r="K2" s="82">
        <v>1</v>
      </c>
      <c r="L2" s="53" t="s">
        <v>1026</v>
      </c>
      <c r="N2" s="87">
        <v>1</v>
      </c>
      <c r="O2" s="53" t="s">
        <v>668</v>
      </c>
      <c r="Q2" s="87">
        <v>1</v>
      </c>
      <c r="R2" s="53" t="s">
        <v>1099</v>
      </c>
      <c r="T2" s="87">
        <v>1</v>
      </c>
      <c r="U2" s="53" t="s">
        <v>767</v>
      </c>
      <c r="W2" s="87">
        <v>1</v>
      </c>
      <c r="X2" s="53" t="s">
        <v>1104</v>
      </c>
    </row>
    <row r="3" spans="1:24" ht="13.5">
      <c r="A3" s="144">
        <v>2</v>
      </c>
      <c r="B3" s="145" t="s">
        <v>1100</v>
      </c>
      <c r="D3" s="84">
        <v>2</v>
      </c>
      <c r="E3" s="51" t="s">
        <v>674</v>
      </c>
      <c r="G3" s="246">
        <v>2</v>
      </c>
      <c r="H3" s="243" t="s">
        <v>677</v>
      </c>
      <c r="I3" s="239" t="s">
        <v>673</v>
      </c>
      <c r="K3" s="84">
        <v>2</v>
      </c>
      <c r="L3" s="51" t="s">
        <v>1027</v>
      </c>
      <c r="N3" s="88">
        <v>2</v>
      </c>
      <c r="O3" s="51" t="s">
        <v>669</v>
      </c>
      <c r="Q3" s="88">
        <v>2</v>
      </c>
      <c r="R3" s="51" t="s">
        <v>1100</v>
      </c>
      <c r="T3" s="88">
        <v>2</v>
      </c>
      <c r="U3" s="51"/>
      <c r="W3" s="88">
        <v>2</v>
      </c>
      <c r="X3" s="51" t="s">
        <v>465</v>
      </c>
    </row>
    <row r="4" spans="1:24" ht="14.25" thickBot="1">
      <c r="A4" s="89">
        <v>3</v>
      </c>
      <c r="B4" s="52" t="s">
        <v>1101</v>
      </c>
      <c r="D4" s="89">
        <v>3</v>
      </c>
      <c r="E4" s="52" t="s">
        <v>675</v>
      </c>
      <c r="G4" s="246">
        <v>3</v>
      </c>
      <c r="H4" s="243" t="s">
        <v>678</v>
      </c>
      <c r="I4" s="239" t="s">
        <v>673</v>
      </c>
      <c r="K4" s="84">
        <v>3</v>
      </c>
      <c r="L4" s="51" t="s">
        <v>1028</v>
      </c>
      <c r="N4" s="88">
        <v>3</v>
      </c>
      <c r="O4" s="51" t="s">
        <v>670</v>
      </c>
      <c r="Q4" s="89">
        <v>3</v>
      </c>
      <c r="R4" s="52" t="s">
        <v>1101</v>
      </c>
      <c r="T4" s="89">
        <v>3</v>
      </c>
      <c r="U4" s="52"/>
      <c r="W4" s="88">
        <v>3</v>
      </c>
      <c r="X4" s="51" t="s">
        <v>1106</v>
      </c>
    </row>
    <row r="5" spans="4:24" ht="14.25" thickBot="1">
      <c r="D5" s="86"/>
      <c r="E5" s="86"/>
      <c r="G5" s="247">
        <v>4</v>
      </c>
      <c r="H5" s="243" t="s">
        <v>679</v>
      </c>
      <c r="I5" s="239" t="s">
        <v>673</v>
      </c>
      <c r="K5" s="84">
        <v>4</v>
      </c>
      <c r="L5" s="51" t="s">
        <v>341</v>
      </c>
      <c r="N5" s="88">
        <v>4</v>
      </c>
      <c r="O5" s="51" t="s">
        <v>671</v>
      </c>
      <c r="Q5" s="86"/>
      <c r="R5" s="86"/>
      <c r="S5" s="86"/>
      <c r="W5" s="89">
        <v>4</v>
      </c>
      <c r="X5" s="52" t="s">
        <v>466</v>
      </c>
    </row>
    <row r="6" spans="4:19" ht="13.5">
      <c r="D6" s="86"/>
      <c r="E6" s="86"/>
      <c r="G6" s="246">
        <v>5</v>
      </c>
      <c r="H6" s="243" t="s">
        <v>680</v>
      </c>
      <c r="I6" s="239" t="s">
        <v>674</v>
      </c>
      <c r="K6" s="84">
        <v>5</v>
      </c>
      <c r="L6" s="51" t="s">
        <v>1030</v>
      </c>
      <c r="N6" s="88">
        <v>5</v>
      </c>
      <c r="O6" s="51" t="s">
        <v>672</v>
      </c>
      <c r="Q6" s="86"/>
      <c r="R6" s="86"/>
      <c r="S6" s="86"/>
    </row>
    <row r="7" spans="4:19" ht="13.5">
      <c r="D7" s="86"/>
      <c r="E7" s="86"/>
      <c r="G7" s="246">
        <v>6</v>
      </c>
      <c r="H7" s="243" t="s">
        <v>681</v>
      </c>
      <c r="I7" s="239" t="s">
        <v>674</v>
      </c>
      <c r="K7" s="84">
        <v>6</v>
      </c>
      <c r="L7" s="51" t="s">
        <v>1031</v>
      </c>
      <c r="N7" s="88">
        <v>6</v>
      </c>
      <c r="O7" s="51"/>
      <c r="Q7" s="86"/>
      <c r="R7" s="86"/>
      <c r="S7" s="86"/>
    </row>
    <row r="8" spans="4:19" ht="13.5">
      <c r="D8" s="86"/>
      <c r="E8" s="86"/>
      <c r="G8" s="246">
        <v>7</v>
      </c>
      <c r="H8" s="243" t="s">
        <v>682</v>
      </c>
      <c r="I8" s="239" t="s">
        <v>675</v>
      </c>
      <c r="K8" s="84">
        <v>7</v>
      </c>
      <c r="L8" s="51" t="s">
        <v>1032</v>
      </c>
      <c r="N8" s="88">
        <v>7</v>
      </c>
      <c r="O8" s="51"/>
      <c r="Q8" s="86"/>
      <c r="R8" s="86"/>
      <c r="S8" s="86"/>
    </row>
    <row r="9" spans="4:15" ht="13.5">
      <c r="D9" s="86"/>
      <c r="E9" s="86"/>
      <c r="G9" s="246">
        <v>8</v>
      </c>
      <c r="H9" s="243"/>
      <c r="I9" s="239"/>
      <c r="K9" s="84">
        <v>8</v>
      </c>
      <c r="L9" s="51" t="s">
        <v>1033</v>
      </c>
      <c r="N9" s="88">
        <v>8</v>
      </c>
      <c r="O9" s="51"/>
    </row>
    <row r="10" spans="4:15" ht="13.5">
      <c r="D10" s="86"/>
      <c r="E10" s="86"/>
      <c r="G10" s="247">
        <v>9</v>
      </c>
      <c r="H10" s="243"/>
      <c r="I10" s="239"/>
      <c r="K10" s="84">
        <v>9</v>
      </c>
      <c r="L10" s="51" t="s">
        <v>1034</v>
      </c>
      <c r="N10" s="88">
        <v>9</v>
      </c>
      <c r="O10" s="51"/>
    </row>
    <row r="11" spans="4:15" ht="13.5">
      <c r="D11" s="86"/>
      <c r="E11" s="86"/>
      <c r="G11" s="246">
        <v>10</v>
      </c>
      <c r="H11" s="243"/>
      <c r="I11" s="239"/>
      <c r="K11" s="84">
        <v>10</v>
      </c>
      <c r="L11" s="51" t="s">
        <v>1035</v>
      </c>
      <c r="N11" s="88">
        <v>10</v>
      </c>
      <c r="O11" s="51"/>
    </row>
    <row r="12" spans="4:15" ht="13.5">
      <c r="D12" s="86"/>
      <c r="E12" s="86"/>
      <c r="G12" s="246">
        <v>11</v>
      </c>
      <c r="H12" s="243"/>
      <c r="I12" s="239"/>
      <c r="K12" s="84">
        <v>11</v>
      </c>
      <c r="L12" s="51" t="s">
        <v>1036</v>
      </c>
      <c r="N12" s="88">
        <v>11</v>
      </c>
      <c r="O12" s="51"/>
    </row>
    <row r="13" spans="4:15" ht="13.5">
      <c r="D13" s="86"/>
      <c r="E13" s="86"/>
      <c r="G13" s="246">
        <v>12</v>
      </c>
      <c r="H13" s="243"/>
      <c r="I13" s="239"/>
      <c r="K13" s="84">
        <v>12</v>
      </c>
      <c r="L13" s="51" t="s">
        <v>1037</v>
      </c>
      <c r="N13" s="88">
        <v>12</v>
      </c>
      <c r="O13" s="51"/>
    </row>
    <row r="14" spans="4:15" ht="13.5">
      <c r="D14" s="86"/>
      <c r="E14" s="86"/>
      <c r="G14" s="247">
        <v>13</v>
      </c>
      <c r="H14" s="243"/>
      <c r="I14" s="239"/>
      <c r="K14" s="84">
        <v>13</v>
      </c>
      <c r="L14" s="51" t="s">
        <v>1038</v>
      </c>
      <c r="N14" s="88">
        <v>13</v>
      </c>
      <c r="O14" s="51"/>
    </row>
    <row r="15" spans="4:15" ht="13.5">
      <c r="D15" s="86"/>
      <c r="E15" s="86"/>
      <c r="G15" s="246">
        <v>14</v>
      </c>
      <c r="H15" s="243"/>
      <c r="I15" s="239"/>
      <c r="K15" s="84">
        <v>14</v>
      </c>
      <c r="L15" s="51" t="s">
        <v>1039</v>
      </c>
      <c r="N15" s="88">
        <v>14</v>
      </c>
      <c r="O15" s="51"/>
    </row>
    <row r="16" spans="4:15" ht="13.5">
      <c r="D16" s="86"/>
      <c r="E16" s="86"/>
      <c r="G16" s="247">
        <v>15</v>
      </c>
      <c r="H16" s="243"/>
      <c r="I16" s="239"/>
      <c r="K16" s="84">
        <v>15</v>
      </c>
      <c r="L16" s="51" t="s">
        <v>1040</v>
      </c>
      <c r="N16" s="88">
        <v>15</v>
      </c>
      <c r="O16" s="51"/>
    </row>
    <row r="17" spans="4:15" ht="13.5">
      <c r="D17" s="86"/>
      <c r="E17" s="86"/>
      <c r="G17" s="247">
        <v>16</v>
      </c>
      <c r="H17" s="243"/>
      <c r="I17" s="239"/>
      <c r="K17" s="84">
        <v>16</v>
      </c>
      <c r="L17" s="51" t="s">
        <v>381</v>
      </c>
      <c r="N17" s="88">
        <v>16</v>
      </c>
      <c r="O17" s="51"/>
    </row>
    <row r="18" spans="4:15" ht="13.5">
      <c r="D18" s="86"/>
      <c r="E18" s="86"/>
      <c r="G18" s="247">
        <v>17</v>
      </c>
      <c r="H18" s="243"/>
      <c r="I18" s="239"/>
      <c r="K18" s="84">
        <v>17</v>
      </c>
      <c r="L18" s="51" t="s">
        <v>1041</v>
      </c>
      <c r="N18" s="88">
        <v>17</v>
      </c>
      <c r="O18" s="51"/>
    </row>
    <row r="19" spans="4:15" ht="13.5">
      <c r="D19" s="86"/>
      <c r="E19" s="86"/>
      <c r="G19" s="246">
        <v>18</v>
      </c>
      <c r="H19" s="243"/>
      <c r="I19" s="239"/>
      <c r="K19" s="84">
        <v>18</v>
      </c>
      <c r="L19" s="51" t="s">
        <v>345</v>
      </c>
      <c r="N19" s="88">
        <v>18</v>
      </c>
      <c r="O19" s="51"/>
    </row>
    <row r="20" spans="4:15" ht="13.5">
      <c r="D20" s="86"/>
      <c r="E20" s="86"/>
      <c r="G20" s="246">
        <v>19</v>
      </c>
      <c r="H20" s="243"/>
      <c r="I20" s="239"/>
      <c r="K20" s="84">
        <v>19</v>
      </c>
      <c r="L20" s="51" t="s">
        <v>1042</v>
      </c>
      <c r="N20" s="88">
        <v>19</v>
      </c>
      <c r="O20" s="51"/>
    </row>
    <row r="21" spans="4:15" ht="13.5">
      <c r="D21" s="86"/>
      <c r="E21" s="86"/>
      <c r="G21" s="246">
        <v>20</v>
      </c>
      <c r="H21" s="243"/>
      <c r="I21" s="239"/>
      <c r="K21" s="84">
        <v>20</v>
      </c>
      <c r="L21" s="51" t="s">
        <v>1043</v>
      </c>
      <c r="N21" s="88">
        <v>20</v>
      </c>
      <c r="O21" s="51"/>
    </row>
    <row r="22" spans="4:15" ht="13.5">
      <c r="D22" s="86"/>
      <c r="E22" s="86"/>
      <c r="G22" s="246">
        <v>21</v>
      </c>
      <c r="H22" s="243"/>
      <c r="I22" s="239"/>
      <c r="K22" s="84">
        <v>21</v>
      </c>
      <c r="L22" s="51" t="s">
        <v>1044</v>
      </c>
      <c r="N22" s="88">
        <v>21</v>
      </c>
      <c r="O22" s="51"/>
    </row>
    <row r="23" spans="4:15" ht="13.5">
      <c r="D23" s="86"/>
      <c r="E23" s="86"/>
      <c r="G23" s="246">
        <v>22</v>
      </c>
      <c r="H23" s="243"/>
      <c r="I23" s="239"/>
      <c r="K23" s="84">
        <v>22</v>
      </c>
      <c r="L23" s="51" t="s">
        <v>1045</v>
      </c>
      <c r="N23" s="88">
        <v>22</v>
      </c>
      <c r="O23" s="51"/>
    </row>
    <row r="24" spans="7:15" ht="14.25" thickBot="1">
      <c r="G24" s="246">
        <v>23</v>
      </c>
      <c r="H24" s="243"/>
      <c r="I24" s="239"/>
      <c r="K24" s="84">
        <v>23</v>
      </c>
      <c r="L24" s="51" t="s">
        <v>1046</v>
      </c>
      <c r="N24" s="89"/>
      <c r="O24" s="52"/>
    </row>
    <row r="25" spans="7:12" ht="13.5">
      <c r="G25" s="246">
        <v>24</v>
      </c>
      <c r="H25" s="243"/>
      <c r="I25" s="239"/>
      <c r="K25" s="84">
        <v>24</v>
      </c>
      <c r="L25" s="51" t="s">
        <v>1047</v>
      </c>
    </row>
    <row r="26" spans="7:12" ht="13.5">
      <c r="G26" s="246">
        <v>25</v>
      </c>
      <c r="H26" s="243"/>
      <c r="I26" s="239"/>
      <c r="K26" s="84">
        <v>25</v>
      </c>
      <c r="L26" s="51" t="s">
        <v>1048</v>
      </c>
    </row>
    <row r="27" spans="7:12" ht="13.5">
      <c r="G27" s="247">
        <v>26</v>
      </c>
      <c r="H27" s="243"/>
      <c r="I27" s="239"/>
      <c r="K27" s="84">
        <v>26</v>
      </c>
      <c r="L27" s="51" t="s">
        <v>1049</v>
      </c>
    </row>
    <row r="28" spans="7:12" ht="13.5">
      <c r="G28" s="246">
        <v>27</v>
      </c>
      <c r="H28" s="243"/>
      <c r="I28" s="239"/>
      <c r="K28" s="84">
        <v>27</v>
      </c>
      <c r="L28" s="51" t="s">
        <v>344</v>
      </c>
    </row>
    <row r="29" spans="7:12" ht="13.5">
      <c r="G29" s="246">
        <v>28</v>
      </c>
      <c r="H29" s="243"/>
      <c r="I29" s="239"/>
      <c r="K29" s="84">
        <v>28</v>
      </c>
      <c r="L29" s="51" t="s">
        <v>342</v>
      </c>
    </row>
    <row r="30" spans="7:15" ht="13.5">
      <c r="G30" s="246">
        <v>29</v>
      </c>
      <c r="H30" s="243"/>
      <c r="I30" s="239"/>
      <c r="K30" s="84">
        <v>29</v>
      </c>
      <c r="L30" s="51" t="s">
        <v>1050</v>
      </c>
      <c r="O30" s="86"/>
    </row>
    <row r="31" spans="7:15" ht="13.5">
      <c r="G31" s="246">
        <v>30</v>
      </c>
      <c r="H31" s="243"/>
      <c r="I31" s="239"/>
      <c r="K31" s="84">
        <v>30</v>
      </c>
      <c r="L31" s="51" t="s">
        <v>1051</v>
      </c>
      <c r="O31" s="86"/>
    </row>
    <row r="32" spans="7:15" ht="13.5">
      <c r="G32" s="246">
        <v>31</v>
      </c>
      <c r="H32" s="243"/>
      <c r="I32" s="239"/>
      <c r="K32" s="84">
        <v>31</v>
      </c>
      <c r="L32" s="51" t="s">
        <v>1052</v>
      </c>
      <c r="O32" s="293"/>
    </row>
    <row r="33" spans="7:15" ht="13.5">
      <c r="G33" s="246">
        <v>32</v>
      </c>
      <c r="H33" s="243"/>
      <c r="I33" s="239"/>
      <c r="K33" s="84">
        <v>32</v>
      </c>
      <c r="L33" s="51" t="s">
        <v>1053</v>
      </c>
      <c r="O33" s="294"/>
    </row>
    <row r="34" spans="7:15" ht="13.5">
      <c r="G34" s="246">
        <v>33</v>
      </c>
      <c r="H34" s="243"/>
      <c r="I34" s="239"/>
      <c r="K34" s="84">
        <v>33</v>
      </c>
      <c r="L34" s="51" t="s">
        <v>1054</v>
      </c>
      <c r="O34" s="294"/>
    </row>
    <row r="35" spans="7:15" ht="13.5">
      <c r="G35" s="246">
        <v>34</v>
      </c>
      <c r="H35" s="243"/>
      <c r="I35" s="239"/>
      <c r="K35" s="84">
        <v>34</v>
      </c>
      <c r="L35" s="51" t="s">
        <v>339</v>
      </c>
      <c r="O35" s="294"/>
    </row>
    <row r="36" spans="7:15" ht="13.5">
      <c r="G36" s="247">
        <v>35</v>
      </c>
      <c r="H36" s="243"/>
      <c r="I36" s="239"/>
      <c r="K36" s="84">
        <v>35</v>
      </c>
      <c r="L36" s="51" t="s">
        <v>1055</v>
      </c>
      <c r="O36" s="294"/>
    </row>
    <row r="37" spans="7:15" ht="13.5">
      <c r="G37" s="247">
        <v>36</v>
      </c>
      <c r="H37" s="243"/>
      <c r="I37" s="239"/>
      <c r="K37" s="84">
        <v>36</v>
      </c>
      <c r="L37" s="51" t="s">
        <v>1056</v>
      </c>
      <c r="O37" s="294"/>
    </row>
    <row r="38" spans="7:15" ht="13.5">
      <c r="G38" s="246">
        <v>37</v>
      </c>
      <c r="H38" s="243"/>
      <c r="I38" s="239"/>
      <c r="K38" s="84">
        <v>37</v>
      </c>
      <c r="L38" s="51" t="s">
        <v>340</v>
      </c>
      <c r="O38" s="294"/>
    </row>
    <row r="39" spans="7:15" ht="13.5">
      <c r="G39" s="246">
        <v>38</v>
      </c>
      <c r="H39" s="243"/>
      <c r="I39" s="239"/>
      <c r="K39" s="84">
        <v>38</v>
      </c>
      <c r="L39" s="51" t="s">
        <v>1057</v>
      </c>
      <c r="O39" s="294"/>
    </row>
    <row r="40" spans="7:15" ht="13.5">
      <c r="G40" s="246">
        <v>39</v>
      </c>
      <c r="H40" s="243"/>
      <c r="I40" s="239"/>
      <c r="K40" s="84">
        <v>39</v>
      </c>
      <c r="L40" s="51" t="s">
        <v>1058</v>
      </c>
      <c r="O40" s="294"/>
    </row>
    <row r="41" spans="7:15" ht="13.5">
      <c r="G41" s="246">
        <v>40</v>
      </c>
      <c r="H41" s="243"/>
      <c r="I41" s="239"/>
      <c r="K41" s="84">
        <v>40</v>
      </c>
      <c r="L41" s="51" t="s">
        <v>1059</v>
      </c>
      <c r="O41" s="294"/>
    </row>
    <row r="42" spans="7:15" ht="13.5">
      <c r="G42" s="246">
        <v>41</v>
      </c>
      <c r="H42" s="243"/>
      <c r="I42" s="239"/>
      <c r="K42" s="84">
        <v>41</v>
      </c>
      <c r="L42" s="51" t="s">
        <v>1060</v>
      </c>
      <c r="O42" s="294"/>
    </row>
    <row r="43" spans="7:15" ht="13.5">
      <c r="G43" s="247">
        <v>42</v>
      </c>
      <c r="H43" s="243"/>
      <c r="I43" s="239"/>
      <c r="K43" s="84">
        <v>42</v>
      </c>
      <c r="L43" s="51" t="s">
        <v>1061</v>
      </c>
      <c r="O43" s="294"/>
    </row>
    <row r="44" spans="7:15" ht="13.5">
      <c r="G44" s="246">
        <v>43</v>
      </c>
      <c r="H44" s="243"/>
      <c r="I44" s="239"/>
      <c r="K44" s="84">
        <v>43</v>
      </c>
      <c r="L44" s="51" t="s">
        <v>1062</v>
      </c>
      <c r="O44" s="294"/>
    </row>
    <row r="45" spans="7:15" ht="13.5">
      <c r="G45" s="246">
        <v>44</v>
      </c>
      <c r="H45" s="243"/>
      <c r="I45" s="239"/>
      <c r="K45" s="84">
        <v>44</v>
      </c>
      <c r="L45" s="51" t="s">
        <v>1063</v>
      </c>
      <c r="O45" s="294"/>
    </row>
    <row r="46" spans="7:15" ht="13.5">
      <c r="G46" s="246">
        <v>45</v>
      </c>
      <c r="H46" s="243"/>
      <c r="I46" s="239"/>
      <c r="K46" s="84">
        <v>45</v>
      </c>
      <c r="L46" s="51" t="s">
        <v>1064</v>
      </c>
      <c r="O46" s="294"/>
    </row>
    <row r="47" spans="7:15" ht="13.5">
      <c r="G47" s="246">
        <v>46</v>
      </c>
      <c r="H47" s="243"/>
      <c r="I47" s="239"/>
      <c r="K47" s="84">
        <v>46</v>
      </c>
      <c r="L47" s="51" t="s">
        <v>1065</v>
      </c>
      <c r="O47" s="294"/>
    </row>
    <row r="48" spans="7:15" ht="13.5">
      <c r="G48" s="246">
        <v>47</v>
      </c>
      <c r="H48" s="243"/>
      <c r="I48" s="239"/>
      <c r="K48" s="84">
        <v>47</v>
      </c>
      <c r="L48" s="51" t="s">
        <v>1066</v>
      </c>
      <c r="O48" s="294"/>
    </row>
    <row r="49" spans="7:15" ht="13.5">
      <c r="G49" s="246">
        <v>48</v>
      </c>
      <c r="H49" s="243"/>
      <c r="I49" s="239"/>
      <c r="K49" s="84">
        <v>48</v>
      </c>
      <c r="L49" s="51" t="s">
        <v>1067</v>
      </c>
      <c r="O49" s="294"/>
    </row>
    <row r="50" spans="7:15" ht="13.5">
      <c r="G50" s="246">
        <v>49</v>
      </c>
      <c r="H50" s="243"/>
      <c r="I50" s="239"/>
      <c r="K50" s="84">
        <v>49</v>
      </c>
      <c r="L50" s="51" t="s">
        <v>1068</v>
      </c>
      <c r="O50" s="294"/>
    </row>
    <row r="51" spans="7:15" ht="13.5">
      <c r="G51" s="246">
        <v>50</v>
      </c>
      <c r="H51" s="243"/>
      <c r="I51" s="239"/>
      <c r="K51" s="84">
        <v>50</v>
      </c>
      <c r="L51" s="51" t="s">
        <v>1069</v>
      </c>
      <c r="O51" s="294"/>
    </row>
    <row r="52" spans="7:15" ht="13.5">
      <c r="G52" s="246">
        <v>51</v>
      </c>
      <c r="H52" s="243"/>
      <c r="I52" s="239"/>
      <c r="K52" s="84">
        <v>51</v>
      </c>
      <c r="L52" s="51" t="s">
        <v>1070</v>
      </c>
      <c r="O52" s="294"/>
    </row>
    <row r="53" spans="7:15" ht="13.5">
      <c r="G53" s="246">
        <v>52</v>
      </c>
      <c r="H53" s="243"/>
      <c r="I53" s="239"/>
      <c r="K53" s="84">
        <v>52</v>
      </c>
      <c r="L53" s="51" t="s">
        <v>1071</v>
      </c>
      <c r="O53" s="294"/>
    </row>
    <row r="54" spans="7:15" ht="13.5">
      <c r="G54" s="246">
        <v>53</v>
      </c>
      <c r="H54" s="243"/>
      <c r="I54" s="239"/>
      <c r="K54" s="84">
        <v>53</v>
      </c>
      <c r="L54" s="51" t="s">
        <v>1072</v>
      </c>
      <c r="O54" s="294"/>
    </row>
    <row r="55" spans="7:12" ht="13.5">
      <c r="G55" s="246">
        <v>54</v>
      </c>
      <c r="H55" s="243"/>
      <c r="I55" s="239"/>
      <c r="K55" s="84">
        <v>54</v>
      </c>
      <c r="L55" s="51" t="s">
        <v>1073</v>
      </c>
    </row>
    <row r="56" spans="7:12" ht="13.5">
      <c r="G56" s="246">
        <v>55</v>
      </c>
      <c r="H56" s="243"/>
      <c r="I56" s="239"/>
      <c r="K56" s="84">
        <v>55</v>
      </c>
      <c r="L56" s="51" t="s">
        <v>1074</v>
      </c>
    </row>
    <row r="57" spans="7:12" ht="13.5">
      <c r="G57" s="247">
        <v>56</v>
      </c>
      <c r="H57" s="243"/>
      <c r="I57" s="239"/>
      <c r="K57" s="84">
        <v>56</v>
      </c>
      <c r="L57" s="51" t="s">
        <v>343</v>
      </c>
    </row>
    <row r="58" spans="7:12" ht="13.5">
      <c r="G58" s="247">
        <v>57</v>
      </c>
      <c r="H58" s="243"/>
      <c r="I58" s="239"/>
      <c r="K58" s="84">
        <v>57</v>
      </c>
      <c r="L58" s="51" t="s">
        <v>1075</v>
      </c>
    </row>
    <row r="59" spans="7:12" ht="13.5">
      <c r="G59" s="246">
        <v>58</v>
      </c>
      <c r="H59" s="243"/>
      <c r="I59" s="239"/>
      <c r="K59" s="84">
        <v>58</v>
      </c>
      <c r="L59" s="51" t="s">
        <v>1076</v>
      </c>
    </row>
    <row r="60" spans="7:12" ht="13.5">
      <c r="G60" s="246">
        <v>59</v>
      </c>
      <c r="H60" s="243"/>
      <c r="I60" s="239"/>
      <c r="K60" s="84">
        <v>59</v>
      </c>
      <c r="L60" s="51" t="s">
        <v>1077</v>
      </c>
    </row>
    <row r="61" spans="7:12" ht="13.5">
      <c r="G61" s="247">
        <v>60</v>
      </c>
      <c r="H61" s="243"/>
      <c r="I61" s="239"/>
      <c r="K61" s="84">
        <v>60</v>
      </c>
      <c r="L61" s="51" t="s">
        <v>1078</v>
      </c>
    </row>
    <row r="62" spans="7:12" ht="13.5">
      <c r="G62" s="247">
        <v>61</v>
      </c>
      <c r="H62" s="243"/>
      <c r="I62" s="239"/>
      <c r="K62" s="84">
        <v>61</v>
      </c>
      <c r="L62" s="51" t="s">
        <v>1079</v>
      </c>
    </row>
    <row r="63" spans="7:12" ht="13.5">
      <c r="G63" s="247">
        <v>62</v>
      </c>
      <c r="H63" s="243"/>
      <c r="I63" s="239"/>
      <c r="K63" s="84">
        <v>62</v>
      </c>
      <c r="L63" s="51" t="s">
        <v>1080</v>
      </c>
    </row>
    <row r="64" spans="7:12" ht="13.5">
      <c r="G64" s="247">
        <v>63</v>
      </c>
      <c r="H64" s="243"/>
      <c r="I64" s="239"/>
      <c r="K64" s="84">
        <v>63</v>
      </c>
      <c r="L64" s="51" t="s">
        <v>1081</v>
      </c>
    </row>
    <row r="65" spans="7:12" ht="13.5">
      <c r="G65" s="246">
        <v>64</v>
      </c>
      <c r="H65" s="243"/>
      <c r="I65" s="239"/>
      <c r="K65" s="84">
        <v>64</v>
      </c>
      <c r="L65" s="51" t="s">
        <v>1082</v>
      </c>
    </row>
    <row r="66" spans="7:12" ht="13.5">
      <c r="G66" s="246">
        <v>65</v>
      </c>
      <c r="H66" s="243"/>
      <c r="I66" s="239"/>
      <c r="K66" s="84">
        <v>65</v>
      </c>
      <c r="L66" s="51" t="s">
        <v>1083</v>
      </c>
    </row>
    <row r="67" spans="7:12" ht="13.5">
      <c r="G67" s="246">
        <v>66</v>
      </c>
      <c r="H67" s="243"/>
      <c r="I67" s="239"/>
      <c r="K67" s="84">
        <v>66</v>
      </c>
      <c r="L67" s="51" t="s">
        <v>1084</v>
      </c>
    </row>
    <row r="68" spans="7:12" ht="13.5">
      <c r="G68" s="246">
        <v>67</v>
      </c>
      <c r="H68" s="243"/>
      <c r="I68" s="239"/>
      <c r="K68" s="84">
        <v>67</v>
      </c>
      <c r="L68" s="51" t="s">
        <v>1085</v>
      </c>
    </row>
    <row r="69" spans="7:12" ht="13.5">
      <c r="G69" s="246">
        <v>68</v>
      </c>
      <c r="H69" s="243"/>
      <c r="I69" s="239"/>
      <c r="K69" s="84">
        <v>68</v>
      </c>
      <c r="L69" s="51" t="s">
        <v>1086</v>
      </c>
    </row>
    <row r="70" spans="7:12" ht="13.5">
      <c r="G70" s="246">
        <v>69</v>
      </c>
      <c r="H70" s="243"/>
      <c r="I70" s="239"/>
      <c r="K70" s="84">
        <v>69</v>
      </c>
      <c r="L70" s="51" t="s">
        <v>1087</v>
      </c>
    </row>
    <row r="71" spans="7:12" ht="13.5">
      <c r="G71" s="246">
        <v>70</v>
      </c>
      <c r="H71" s="243"/>
      <c r="I71" s="239"/>
      <c r="K71" s="84">
        <v>70</v>
      </c>
      <c r="L71" s="51" t="s">
        <v>1088</v>
      </c>
    </row>
    <row r="72" spans="7:12" ht="13.5">
      <c r="G72" s="246">
        <v>71</v>
      </c>
      <c r="H72" s="243"/>
      <c r="I72" s="239"/>
      <c r="K72" s="84">
        <v>71</v>
      </c>
      <c r="L72" s="51" t="s">
        <v>1089</v>
      </c>
    </row>
    <row r="73" spans="7:12" ht="13.5">
      <c r="G73" s="246">
        <v>72</v>
      </c>
      <c r="H73" s="243"/>
      <c r="I73" s="239"/>
      <c r="K73" s="84">
        <v>72</v>
      </c>
      <c r="L73" s="51" t="s">
        <v>1090</v>
      </c>
    </row>
    <row r="74" spans="7:12" ht="13.5">
      <c r="G74" s="246">
        <v>73</v>
      </c>
      <c r="H74" s="243"/>
      <c r="I74" s="239"/>
      <c r="K74" s="84">
        <v>73</v>
      </c>
      <c r="L74" s="51" t="s">
        <v>1091</v>
      </c>
    </row>
    <row r="75" spans="7:12" ht="13.5">
      <c r="G75" s="246">
        <v>74</v>
      </c>
      <c r="H75" s="243"/>
      <c r="I75" s="239"/>
      <c r="K75" s="84">
        <v>74</v>
      </c>
      <c r="L75" s="51" t="s">
        <v>1092</v>
      </c>
    </row>
    <row r="76" spans="7:12" ht="13.5">
      <c r="G76" s="246">
        <v>75</v>
      </c>
      <c r="H76" s="243"/>
      <c r="I76" s="239"/>
      <c r="K76" s="84">
        <v>75</v>
      </c>
      <c r="L76" s="51" t="s">
        <v>1093</v>
      </c>
    </row>
    <row r="77" spans="7:12" ht="13.5">
      <c r="G77" s="246">
        <v>76</v>
      </c>
      <c r="H77" s="243"/>
      <c r="I77" s="239"/>
      <c r="K77" s="84">
        <v>76</v>
      </c>
      <c r="L77" s="51" t="s">
        <v>1094</v>
      </c>
    </row>
    <row r="78" spans="7:12" ht="13.5">
      <c r="G78" s="246">
        <v>77</v>
      </c>
      <c r="H78" s="243"/>
      <c r="I78" s="239"/>
      <c r="K78" s="84">
        <v>77</v>
      </c>
      <c r="L78" s="51" t="s">
        <v>1095</v>
      </c>
    </row>
    <row r="79" spans="7:12" ht="13.5">
      <c r="G79" s="247">
        <v>78</v>
      </c>
      <c r="H79" s="243"/>
      <c r="I79" s="239"/>
      <c r="K79" s="84">
        <v>78</v>
      </c>
      <c r="L79" s="51" t="s">
        <v>1096</v>
      </c>
    </row>
    <row r="80" spans="7:12" ht="13.5">
      <c r="G80" s="247">
        <v>79</v>
      </c>
      <c r="H80" s="243"/>
      <c r="I80" s="239"/>
      <c r="K80" s="84">
        <v>79</v>
      </c>
      <c r="L80" s="51" t="s">
        <v>1097</v>
      </c>
    </row>
    <row r="81" spans="7:12" ht="13.5">
      <c r="G81" s="247">
        <v>80</v>
      </c>
      <c r="H81" s="243"/>
      <c r="I81" s="239"/>
      <c r="K81" s="88">
        <v>80</v>
      </c>
      <c r="L81" s="51" t="s">
        <v>1098</v>
      </c>
    </row>
    <row r="82" spans="7:12" ht="14.25" thickBot="1">
      <c r="G82" s="246">
        <v>81</v>
      </c>
      <c r="H82" s="243"/>
      <c r="I82" s="239"/>
      <c r="K82" s="89">
        <v>81</v>
      </c>
      <c r="L82" s="52"/>
    </row>
    <row r="83" spans="7:9" ht="13.5">
      <c r="G83" s="246">
        <v>82</v>
      </c>
      <c r="H83" s="243"/>
      <c r="I83" s="239"/>
    </row>
    <row r="84" spans="7:9" ht="13.5">
      <c r="G84" s="246">
        <v>83</v>
      </c>
      <c r="H84" s="243"/>
      <c r="I84" s="239"/>
    </row>
    <row r="85" spans="7:9" ht="13.5">
      <c r="G85" s="246">
        <v>84</v>
      </c>
      <c r="H85" s="243"/>
      <c r="I85" s="239"/>
    </row>
    <row r="86" spans="7:9" ht="13.5">
      <c r="G86" s="246">
        <v>85</v>
      </c>
      <c r="H86" s="243"/>
      <c r="I86" s="239"/>
    </row>
    <row r="87" spans="7:9" ht="13.5">
      <c r="G87" s="246">
        <v>86</v>
      </c>
      <c r="H87" s="243"/>
      <c r="I87" s="239"/>
    </row>
    <row r="88" spans="7:9" ht="13.5">
      <c r="G88" s="246">
        <v>87</v>
      </c>
      <c r="H88" s="243"/>
      <c r="I88" s="239"/>
    </row>
    <row r="89" spans="7:9" ht="13.5">
      <c r="G89" s="246">
        <v>88</v>
      </c>
      <c r="H89" s="243"/>
      <c r="I89" s="239"/>
    </row>
    <row r="90" spans="7:9" ht="13.5">
      <c r="G90" s="246">
        <v>89</v>
      </c>
      <c r="H90" s="243"/>
      <c r="I90" s="239"/>
    </row>
    <row r="91" spans="7:9" ht="13.5">
      <c r="G91" s="246">
        <v>90</v>
      </c>
      <c r="H91" s="243"/>
      <c r="I91" s="239"/>
    </row>
    <row r="92" spans="7:9" ht="13.5">
      <c r="G92" s="247">
        <v>91</v>
      </c>
      <c r="H92" s="243"/>
      <c r="I92" s="239"/>
    </row>
    <row r="93" spans="7:9" ht="13.5">
      <c r="G93" s="246">
        <v>92</v>
      </c>
      <c r="H93" s="243"/>
      <c r="I93" s="239"/>
    </row>
    <row r="94" spans="7:9" ht="13.5">
      <c r="G94" s="246">
        <v>93</v>
      </c>
      <c r="H94" s="243"/>
      <c r="I94" s="239"/>
    </row>
    <row r="95" spans="7:9" ht="13.5">
      <c r="G95" s="246">
        <v>94</v>
      </c>
      <c r="H95" s="243"/>
      <c r="I95" s="239"/>
    </row>
    <row r="96" spans="7:9" ht="13.5">
      <c r="G96" s="246">
        <v>95</v>
      </c>
      <c r="H96" s="243"/>
      <c r="I96" s="239"/>
    </row>
    <row r="97" spans="7:9" ht="13.5">
      <c r="G97" s="247">
        <v>96</v>
      </c>
      <c r="H97" s="243"/>
      <c r="I97" s="239"/>
    </row>
    <row r="98" spans="7:9" ht="13.5">
      <c r="G98" s="246">
        <v>97</v>
      </c>
      <c r="H98" s="243"/>
      <c r="I98" s="239"/>
    </row>
    <row r="99" spans="7:9" ht="13.5">
      <c r="G99" s="246">
        <v>98</v>
      </c>
      <c r="H99" s="243"/>
      <c r="I99" s="239"/>
    </row>
    <row r="100" spans="7:9" ht="13.5">
      <c r="G100" s="246">
        <v>99</v>
      </c>
      <c r="H100" s="243"/>
      <c r="I100" s="239"/>
    </row>
    <row r="101" spans="7:9" ht="13.5">
      <c r="G101" s="246">
        <v>100</v>
      </c>
      <c r="H101" s="243"/>
      <c r="I101" s="239"/>
    </row>
    <row r="102" spans="7:9" ht="13.5">
      <c r="G102" s="246">
        <v>101</v>
      </c>
      <c r="H102" s="243"/>
      <c r="I102" s="239"/>
    </row>
    <row r="103" spans="7:9" ht="13.5">
      <c r="G103" s="246">
        <v>102</v>
      </c>
      <c r="H103" s="243"/>
      <c r="I103" s="239"/>
    </row>
    <row r="104" spans="7:9" ht="13.5">
      <c r="G104" s="246">
        <v>103</v>
      </c>
      <c r="H104" s="243"/>
      <c r="I104" s="239"/>
    </row>
    <row r="105" spans="7:9" ht="13.5">
      <c r="G105" s="246">
        <v>104</v>
      </c>
      <c r="H105" s="243"/>
      <c r="I105" s="239"/>
    </row>
    <row r="106" spans="7:9" ht="13.5">
      <c r="G106" s="247">
        <v>105</v>
      </c>
      <c r="H106" s="243"/>
      <c r="I106" s="239"/>
    </row>
    <row r="107" spans="7:9" ht="13.5">
      <c r="G107" s="247">
        <v>106</v>
      </c>
      <c r="H107" s="243"/>
      <c r="I107" s="239"/>
    </row>
    <row r="108" spans="7:9" ht="13.5">
      <c r="G108" s="246">
        <v>107</v>
      </c>
      <c r="H108" s="243"/>
      <c r="I108" s="239"/>
    </row>
    <row r="109" spans="7:9" ht="13.5">
      <c r="G109" s="247">
        <v>108</v>
      </c>
      <c r="H109" s="243"/>
      <c r="I109" s="239"/>
    </row>
    <row r="110" spans="7:9" ht="13.5">
      <c r="G110" s="247">
        <v>109</v>
      </c>
      <c r="H110" s="243"/>
      <c r="I110" s="239"/>
    </row>
    <row r="111" spans="7:9" ht="13.5">
      <c r="G111" s="247">
        <v>110</v>
      </c>
      <c r="H111" s="243"/>
      <c r="I111" s="239"/>
    </row>
    <row r="112" spans="7:9" ht="13.5">
      <c r="G112" s="246">
        <v>111</v>
      </c>
      <c r="H112" s="243"/>
      <c r="I112" s="239"/>
    </row>
    <row r="113" spans="7:9" ht="13.5">
      <c r="G113" s="247">
        <v>112</v>
      </c>
      <c r="H113" s="243"/>
      <c r="I113" s="239"/>
    </row>
    <row r="114" spans="7:9" ht="13.5">
      <c r="G114" s="247">
        <v>113</v>
      </c>
      <c r="H114" s="243"/>
      <c r="I114" s="240"/>
    </row>
    <row r="115" spans="7:9" ht="13.5">
      <c r="G115" s="246">
        <v>114</v>
      </c>
      <c r="H115" s="243"/>
      <c r="I115" s="239"/>
    </row>
    <row r="116" spans="7:9" ht="14.25" thickBot="1">
      <c r="G116" s="248">
        <v>115</v>
      </c>
      <c r="H116" s="244"/>
      <c r="I116" s="241"/>
    </row>
    <row r="117" spans="7:9" ht="13.5">
      <c r="G117" s="86"/>
      <c r="H117" s="86"/>
      <c r="I117" s="186"/>
    </row>
    <row r="118" spans="7:9" ht="13.5">
      <c r="G118" s="86"/>
      <c r="H118" s="86"/>
      <c r="I118" s="186"/>
    </row>
    <row r="119" spans="7:9" ht="13.5">
      <c r="G119" s="86"/>
      <c r="H119" s="86"/>
      <c r="I119" s="186"/>
    </row>
    <row r="120" spans="7:9" ht="13.5">
      <c r="G120" s="86"/>
      <c r="H120" s="86"/>
      <c r="I120" s="186"/>
    </row>
    <row r="121" ht="13.5">
      <c r="I121" s="74"/>
    </row>
    <row r="122" ht="13.5">
      <c r="I122" s="74"/>
    </row>
    <row r="123" ht="13.5">
      <c r="I123" s="74"/>
    </row>
    <row r="124" ht="13.5">
      <c r="I124" s="74"/>
    </row>
    <row r="125" ht="13.5">
      <c r="I125" s="74"/>
    </row>
    <row r="126" ht="13.5">
      <c r="I126" s="74"/>
    </row>
    <row r="127" ht="13.5">
      <c r="I127" s="74"/>
    </row>
    <row r="128" ht="13.5">
      <c r="I128" s="74"/>
    </row>
    <row r="129" ht="13.5">
      <c r="I129" s="74"/>
    </row>
    <row r="130" ht="13.5">
      <c r="I130" s="74"/>
    </row>
    <row r="131" ht="13.5">
      <c r="I131" s="74"/>
    </row>
    <row r="132" ht="13.5">
      <c r="I132" s="74"/>
    </row>
    <row r="133" ht="13.5">
      <c r="I133" s="74"/>
    </row>
    <row r="134" ht="13.5">
      <c r="I134" s="74"/>
    </row>
    <row r="135" ht="13.5">
      <c r="I135" s="74"/>
    </row>
    <row r="136" ht="13.5">
      <c r="I136" s="74"/>
    </row>
    <row r="137" ht="13.5">
      <c r="I137" s="74"/>
    </row>
    <row r="138" ht="13.5">
      <c r="I138" s="74"/>
    </row>
    <row r="139" ht="13.5">
      <c r="I139" s="74"/>
    </row>
    <row r="140" ht="13.5">
      <c r="I140" s="74"/>
    </row>
    <row r="141" ht="13.5">
      <c r="I141" s="74"/>
    </row>
    <row r="142" ht="13.5">
      <c r="I142" s="74"/>
    </row>
    <row r="143" ht="13.5">
      <c r="I143" s="74"/>
    </row>
    <row r="144" ht="13.5">
      <c r="I144" s="74"/>
    </row>
    <row r="145" ht="13.5">
      <c r="I145" s="74"/>
    </row>
    <row r="146" ht="13.5">
      <c r="I146" s="74"/>
    </row>
    <row r="147" ht="13.5">
      <c r="I147" s="74"/>
    </row>
    <row r="148" ht="13.5">
      <c r="I148" s="74"/>
    </row>
    <row r="149" ht="13.5">
      <c r="I149" s="74"/>
    </row>
    <row r="150" ht="13.5">
      <c r="I150" s="74"/>
    </row>
    <row r="151" ht="13.5">
      <c r="I151" s="74"/>
    </row>
    <row r="152" ht="13.5">
      <c r="I152" s="74"/>
    </row>
    <row r="153" ht="13.5">
      <c r="I153" s="74"/>
    </row>
    <row r="154" ht="13.5">
      <c r="I154" s="74"/>
    </row>
    <row r="155" ht="13.5">
      <c r="I155" s="74"/>
    </row>
    <row r="156" ht="13.5">
      <c r="I156" s="74"/>
    </row>
    <row r="157" ht="13.5">
      <c r="I157" s="74"/>
    </row>
    <row r="158" ht="13.5">
      <c r="I158" s="74"/>
    </row>
    <row r="159" ht="13.5">
      <c r="I159" s="74"/>
    </row>
    <row r="160" ht="13.5">
      <c r="I160" s="74"/>
    </row>
    <row r="161" ht="13.5">
      <c r="I161" s="74"/>
    </row>
    <row r="162" ht="13.5">
      <c r="I162" s="74"/>
    </row>
    <row r="163" ht="13.5">
      <c r="I163" s="74"/>
    </row>
    <row r="164" ht="13.5">
      <c r="I164" s="74"/>
    </row>
    <row r="165" ht="13.5">
      <c r="I165" s="74"/>
    </row>
    <row r="166" ht="13.5">
      <c r="I166" s="74"/>
    </row>
    <row r="167" ht="13.5">
      <c r="I167" s="74"/>
    </row>
    <row r="168" ht="13.5">
      <c r="I168" s="74"/>
    </row>
    <row r="169" ht="13.5">
      <c r="I169" s="74"/>
    </row>
    <row r="170" ht="13.5">
      <c r="I170" s="74"/>
    </row>
    <row r="171" ht="13.5">
      <c r="I171" s="74"/>
    </row>
    <row r="172" ht="13.5">
      <c r="I172" s="74"/>
    </row>
    <row r="173" ht="13.5">
      <c r="I173" s="74"/>
    </row>
    <row r="174" ht="13.5">
      <c r="I174" s="74"/>
    </row>
    <row r="175" ht="13.5">
      <c r="I175" s="74"/>
    </row>
    <row r="176" ht="13.5">
      <c r="I176" s="74"/>
    </row>
    <row r="177" ht="13.5">
      <c r="I177" s="74"/>
    </row>
    <row r="178" ht="13.5">
      <c r="I178" s="74"/>
    </row>
  </sheetData>
  <sheetProtection/>
  <autoFilter ref="G1:I120"/>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tYoshiki61"/>
  <dimension ref="A1:H140"/>
  <sheetViews>
    <sheetView view="pageBreakPreview" zoomScale="85" zoomScaleSheetLayoutView="85" zoomScalePageLayoutView="0" workbookViewId="0" topLeftCell="A1">
      <selection activeCell="A10" sqref="A10:H11"/>
    </sheetView>
  </sheetViews>
  <sheetFormatPr defaultColWidth="5.375" defaultRowHeight="22.5" customHeight="1"/>
  <cols>
    <col min="1" max="1" width="14.125" style="1" customWidth="1"/>
    <col min="2" max="2" width="18.625" style="1" customWidth="1"/>
    <col min="3" max="3" width="3.375" style="1" bestFit="1" customWidth="1"/>
    <col min="4" max="4" width="8.125" style="2" customWidth="1"/>
    <col min="5" max="5" width="11.00390625" style="2" bestFit="1" customWidth="1"/>
    <col min="6" max="6" width="15.25390625" style="2" customWidth="1"/>
    <col min="7" max="7" width="13.00390625" style="1" bestFit="1" customWidth="1"/>
    <col min="8" max="8" width="5.875" style="1" customWidth="1"/>
    <col min="9" max="16384" width="5.375" style="1" customWidth="1"/>
  </cols>
  <sheetData>
    <row r="1" spans="1:8" ht="22.5" customHeight="1">
      <c r="A1" s="1" t="s">
        <v>851</v>
      </c>
      <c r="F1" s="841">
        <f>申請月日</f>
        <v>0</v>
      </c>
      <c r="G1" s="841"/>
      <c r="H1" s="764"/>
    </row>
    <row r="2" spans="3:6" ht="22.5" customHeight="1">
      <c r="C2" s="3"/>
      <c r="D2" s="3"/>
      <c r="E2" s="3"/>
      <c r="F2" s="16"/>
    </row>
    <row r="3" spans="1:6" ht="22.5" customHeight="1">
      <c r="A3" s="842" t="s">
        <v>303</v>
      </c>
      <c r="B3" s="842"/>
      <c r="C3" s="3"/>
      <c r="D3" s="3"/>
      <c r="F3" s="16"/>
    </row>
    <row r="4" spans="1:6" ht="22.5" customHeight="1">
      <c r="A4" s="14" t="s">
        <v>304</v>
      </c>
      <c r="B4" s="3" t="s">
        <v>312</v>
      </c>
      <c r="C4" s="1" t="s">
        <v>1130</v>
      </c>
      <c r="F4" s="10"/>
    </row>
    <row r="5" spans="5:8" ht="22.5" customHeight="1">
      <c r="E5" s="17" t="s">
        <v>313</v>
      </c>
      <c r="F5" s="670">
        <f>借受団体_団体名</f>
        <v>0</v>
      </c>
      <c r="G5" s="670"/>
      <c r="H5" s="1" t="s">
        <v>329</v>
      </c>
    </row>
    <row r="6" spans="5:8" ht="22.5" customHeight="1">
      <c r="E6" s="17" t="s">
        <v>314</v>
      </c>
      <c r="F6" s="652" t="str">
        <f>CONCATENATE(借受団体_代表者区分,"　",借受団体_代表者名)</f>
        <v>　</v>
      </c>
      <c r="G6" s="652"/>
      <c r="H6" s="3" t="s">
        <v>1134</v>
      </c>
    </row>
    <row r="8" spans="1:8" ht="22.5" customHeight="1">
      <c r="A8" s="848" t="s">
        <v>684</v>
      </c>
      <c r="B8" s="848"/>
      <c r="C8" s="848"/>
      <c r="D8" s="848"/>
      <c r="E8" s="848"/>
      <c r="F8" s="848"/>
      <c r="G8" s="848"/>
      <c r="H8" s="848"/>
    </row>
    <row r="9" spans="2:7" ht="22.5" customHeight="1">
      <c r="B9" s="14" t="s">
        <v>218</v>
      </c>
      <c r="C9" s="652" t="str">
        <f>事業名</f>
        <v>畜産排水対策緊急支援事業</v>
      </c>
      <c r="D9" s="652"/>
      <c r="E9" s="652"/>
      <c r="F9" s="652"/>
      <c r="G9" s="1" t="s">
        <v>688</v>
      </c>
    </row>
    <row r="10" spans="1:8" ht="22.5" customHeight="1">
      <c r="A10" s="749" t="s">
        <v>378</v>
      </c>
      <c r="B10" s="749"/>
      <c r="C10" s="749"/>
      <c r="D10" s="749"/>
      <c r="E10" s="749"/>
      <c r="F10" s="749"/>
      <c r="G10" s="749"/>
      <c r="H10" s="749"/>
    </row>
    <row r="11" spans="1:8" ht="22.5" customHeight="1">
      <c r="A11" s="749"/>
      <c r="B11" s="749"/>
      <c r="C11" s="749"/>
      <c r="D11" s="749"/>
      <c r="E11" s="749"/>
      <c r="F11" s="749"/>
      <c r="G11" s="749"/>
      <c r="H11" s="749"/>
    </row>
    <row r="12" spans="1:8" ht="22.5" customHeight="1">
      <c r="A12" s="670" t="s">
        <v>1135</v>
      </c>
      <c r="B12" s="670"/>
      <c r="C12" s="670"/>
      <c r="D12" s="670"/>
      <c r="E12" s="670"/>
      <c r="F12" s="670"/>
      <c r="G12" s="670"/>
      <c r="H12" s="670"/>
    </row>
    <row r="13" ht="22.5" customHeight="1">
      <c r="A13" s="1" t="s">
        <v>315</v>
      </c>
    </row>
    <row r="14" spans="1:8" ht="22.5" customHeight="1">
      <c r="A14" s="1" t="s">
        <v>316</v>
      </c>
      <c r="C14" s="673" t="str">
        <f>CONCATENATE(借受者名_漢字,"　",代表者名_漢字)</f>
        <v>　</v>
      </c>
      <c r="D14" s="673"/>
      <c r="E14" s="673"/>
      <c r="F14" s="673"/>
      <c r="G14" s="673"/>
      <c r="H14" s="673"/>
    </row>
    <row r="15" spans="1:8" ht="22.5" customHeight="1">
      <c r="A15" s="1" t="s">
        <v>317</v>
      </c>
      <c r="C15" s="673">
        <f>住所_住所</f>
        <v>0</v>
      </c>
      <c r="D15" s="673"/>
      <c r="E15" s="673"/>
      <c r="F15" s="673"/>
      <c r="G15" s="673"/>
      <c r="H15" s="673"/>
    </row>
    <row r="16" ht="22.5" customHeight="1">
      <c r="A16" s="1" t="s">
        <v>788</v>
      </c>
    </row>
    <row r="17" spans="3:8" ht="22.5" customHeight="1">
      <c r="C17" s="673" t="str">
        <f>CONCATENATE(機械1_機械名,"　",機械1_銘柄,"　",機械1_形式)</f>
        <v>　　</v>
      </c>
      <c r="D17" s="673"/>
      <c r="E17" s="673"/>
      <c r="F17" s="673"/>
      <c r="G17" s="673"/>
      <c r="H17" s="673"/>
    </row>
    <row r="18" spans="3:6" ht="22.5" customHeight="1">
      <c r="C18" s="849">
        <f>機械1_見積価格</f>
        <v>0</v>
      </c>
      <c r="D18" s="849"/>
      <c r="E18" s="849"/>
      <c r="F18" s="849"/>
    </row>
    <row r="19" spans="1:7" ht="22.5" customHeight="1">
      <c r="A19" s="1" t="s">
        <v>705</v>
      </c>
      <c r="C19" s="846">
        <f>機械1_現地納入業者_名称</f>
        <v>0</v>
      </c>
      <c r="D19" s="847"/>
      <c r="E19" s="847"/>
      <c r="F19" s="847"/>
      <c r="G19" s="847"/>
    </row>
    <row r="20" spans="3:6" ht="22.5" customHeight="1">
      <c r="C20" s="64"/>
      <c r="D20" s="64"/>
      <c r="E20" s="64"/>
      <c r="F20" s="64"/>
    </row>
    <row r="21" spans="1:6" ht="22.5" customHeight="1">
      <c r="A21" s="1" t="s">
        <v>686</v>
      </c>
      <c r="C21" s="64"/>
      <c r="D21" s="64"/>
      <c r="E21" s="64"/>
      <c r="F21" s="64"/>
    </row>
    <row r="22" spans="1:6" ht="22.5" customHeight="1">
      <c r="A22" s="845">
        <f>IF(機械1_見積合わせの選定基準="","",機械1_見積合わせの選定基準)</f>
      </c>
      <c r="B22" s="845"/>
      <c r="C22" s="845"/>
      <c r="D22" s="845"/>
      <c r="E22" s="845"/>
      <c r="F22" s="845"/>
    </row>
    <row r="23" spans="1:6" ht="22.5" customHeight="1">
      <c r="A23" s="845"/>
      <c r="B23" s="845"/>
      <c r="C23" s="845"/>
      <c r="D23" s="845"/>
      <c r="E23" s="845"/>
      <c r="F23" s="845"/>
    </row>
    <row r="24" spans="1:6" ht="22.5" customHeight="1">
      <c r="A24" s="845"/>
      <c r="B24" s="845"/>
      <c r="C24" s="845"/>
      <c r="D24" s="845"/>
      <c r="E24" s="845"/>
      <c r="F24" s="845"/>
    </row>
    <row r="25" spans="1:6" ht="22.5" customHeight="1">
      <c r="A25" s="845"/>
      <c r="B25" s="845"/>
      <c r="C25" s="845"/>
      <c r="D25" s="845"/>
      <c r="E25" s="845"/>
      <c r="F25" s="845"/>
    </row>
    <row r="26" spans="1:6" ht="22.5" customHeight="1">
      <c r="A26" s="180"/>
      <c r="B26" s="180"/>
      <c r="C26" s="180"/>
      <c r="D26" s="180"/>
      <c r="E26" s="180"/>
      <c r="F26" s="180"/>
    </row>
    <row r="27" ht="22.5" customHeight="1">
      <c r="A27" s="1" t="s">
        <v>687</v>
      </c>
    </row>
    <row r="28" ht="22.5" customHeight="1">
      <c r="A28" s="1" t="s">
        <v>318</v>
      </c>
    </row>
    <row r="29" spans="1:8" ht="22.5" customHeight="1">
      <c r="A29" s="20"/>
      <c r="B29" s="20"/>
      <c r="C29" s="20"/>
      <c r="D29" s="20"/>
      <c r="E29" s="20"/>
      <c r="F29" s="20"/>
      <c r="G29" s="20"/>
      <c r="H29" s="20"/>
    </row>
    <row r="30" spans="1:8" ht="22.5" customHeight="1">
      <c r="A30" s="763" t="s">
        <v>328</v>
      </c>
      <c r="B30" s="856"/>
      <c r="C30" s="850" t="s">
        <v>330</v>
      </c>
      <c r="D30" s="850"/>
      <c r="E30" s="851"/>
      <c r="F30" s="20"/>
      <c r="G30" s="20"/>
      <c r="H30" s="20"/>
    </row>
    <row r="31" spans="1:8" ht="22.5" customHeight="1">
      <c r="A31" s="857">
        <f>機械1_現地納入業者_名称</f>
        <v>0</v>
      </c>
      <c r="B31" s="650"/>
      <c r="C31" s="843">
        <f>機械1_見積価格</f>
        <v>0</v>
      </c>
      <c r="D31" s="843"/>
      <c r="E31" s="844"/>
      <c r="F31" s="20"/>
      <c r="G31" s="20"/>
      <c r="H31" s="20"/>
    </row>
    <row r="32" spans="1:8" ht="22.5" customHeight="1">
      <c r="A32" s="852">
        <f>IF(機械1_参加業者名2_参加業者名="","",機械1_参加業者名2_参加業者名)</f>
      </c>
      <c r="B32" s="757"/>
      <c r="C32" s="843">
        <f>IF(機械1_参加業者名2_見積価格="","",機械1_参加業者名2_見積価格)</f>
        <v>0</v>
      </c>
      <c r="D32" s="843"/>
      <c r="E32" s="844"/>
      <c r="F32" s="20"/>
      <c r="G32" s="20"/>
      <c r="H32" s="20"/>
    </row>
    <row r="33" spans="1:8" ht="22.5" customHeight="1">
      <c r="A33" s="853">
        <f>IF(機械1_参加業者名3_参加業者名="","",機械1_参加業者名3_参加業者名)</f>
      </c>
      <c r="B33" s="706"/>
      <c r="C33" s="854">
        <f>IF(機械1_参加業者名3_見積価格="","",機械1_参加業者名3_見積価格)</f>
        <v>0</v>
      </c>
      <c r="D33" s="854"/>
      <c r="E33" s="855"/>
      <c r="F33" s="20"/>
      <c r="G33" s="20"/>
      <c r="H33" s="20"/>
    </row>
    <row r="34" spans="1:8" ht="22.5" customHeight="1">
      <c r="A34" s="20"/>
      <c r="B34" s="20"/>
      <c r="C34" s="20"/>
      <c r="D34" s="20"/>
      <c r="E34" s="20"/>
      <c r="F34" s="20"/>
      <c r="G34" s="20"/>
      <c r="H34" s="20"/>
    </row>
    <row r="35" spans="1:8" ht="22.5" customHeight="1">
      <c r="A35" s="652" t="s">
        <v>852</v>
      </c>
      <c r="B35" s="652"/>
      <c r="C35" s="652"/>
      <c r="D35" s="652"/>
      <c r="E35" s="652"/>
      <c r="F35" s="652"/>
      <c r="G35" s="652"/>
      <c r="H35" s="652"/>
    </row>
    <row r="36" spans="1:8" ht="22.5" customHeight="1">
      <c r="A36" s="1" t="s">
        <v>851</v>
      </c>
      <c r="F36" s="841">
        <f>申請月日</f>
        <v>0</v>
      </c>
      <c r="G36" s="841"/>
      <c r="H36" s="764"/>
    </row>
    <row r="37" spans="3:6" ht="22.5" customHeight="1">
      <c r="C37" s="3"/>
      <c r="D37" s="3"/>
      <c r="E37" s="3"/>
      <c r="F37" s="16"/>
    </row>
    <row r="38" spans="1:6" ht="22.5" customHeight="1">
      <c r="A38" s="842" t="s">
        <v>303</v>
      </c>
      <c r="B38" s="842"/>
      <c r="C38" s="3"/>
      <c r="D38" s="3"/>
      <c r="F38" s="16"/>
    </row>
    <row r="39" spans="1:6" ht="22.5" customHeight="1">
      <c r="A39" s="14" t="s">
        <v>304</v>
      </c>
      <c r="B39" s="3" t="s">
        <v>312</v>
      </c>
      <c r="C39" s="1" t="s">
        <v>1130</v>
      </c>
      <c r="F39" s="10"/>
    </row>
    <row r="40" spans="5:8" ht="22.5" customHeight="1">
      <c r="E40" s="17" t="s">
        <v>313</v>
      </c>
      <c r="F40" s="670">
        <f>借受団体_団体名</f>
        <v>0</v>
      </c>
      <c r="G40" s="670"/>
      <c r="H40" s="1" t="s">
        <v>329</v>
      </c>
    </row>
    <row r="41" spans="5:8" ht="22.5" customHeight="1">
      <c r="E41" s="17" t="s">
        <v>314</v>
      </c>
      <c r="F41" s="652" t="str">
        <f>CONCATENATE(借受団体_代表者区分,"　",借受団体_代表者名)</f>
        <v>　</v>
      </c>
      <c r="G41" s="652"/>
      <c r="H41" s="3" t="s">
        <v>1134</v>
      </c>
    </row>
    <row r="43" spans="1:8" s="295" customFormat="1" ht="22.5" customHeight="1">
      <c r="A43" s="848" t="s">
        <v>684</v>
      </c>
      <c r="B43" s="848"/>
      <c r="C43" s="848"/>
      <c r="D43" s="848"/>
      <c r="E43" s="848"/>
      <c r="F43" s="848"/>
      <c r="G43" s="848"/>
      <c r="H43" s="848"/>
    </row>
    <row r="44" spans="2:7" ht="22.5" customHeight="1">
      <c r="B44" s="14" t="s">
        <v>218</v>
      </c>
      <c r="C44" s="652" t="str">
        <f>事業名</f>
        <v>畜産排水対策緊急支援事業</v>
      </c>
      <c r="D44" s="652"/>
      <c r="E44" s="652"/>
      <c r="F44" s="652"/>
      <c r="G44" s="1" t="s">
        <v>688</v>
      </c>
    </row>
    <row r="45" spans="1:8" ht="22.5" customHeight="1">
      <c r="A45" s="749" t="s">
        <v>378</v>
      </c>
      <c r="B45" s="749"/>
      <c r="C45" s="749"/>
      <c r="D45" s="749"/>
      <c r="E45" s="749"/>
      <c r="F45" s="749"/>
      <c r="G45" s="749"/>
      <c r="H45" s="749"/>
    </row>
    <row r="46" spans="1:8" ht="22.5" customHeight="1">
      <c r="A46" s="749"/>
      <c r="B46" s="749"/>
      <c r="C46" s="749"/>
      <c r="D46" s="749"/>
      <c r="E46" s="749"/>
      <c r="F46" s="749"/>
      <c r="G46" s="749"/>
      <c r="H46" s="749"/>
    </row>
    <row r="47" spans="1:8" ht="22.5" customHeight="1">
      <c r="A47" s="670" t="s">
        <v>1135</v>
      </c>
      <c r="B47" s="670"/>
      <c r="C47" s="670"/>
      <c r="D47" s="670"/>
      <c r="E47" s="670"/>
      <c r="F47" s="670"/>
      <c r="G47" s="670"/>
      <c r="H47" s="670"/>
    </row>
    <row r="48" ht="22.5" customHeight="1">
      <c r="A48" s="1" t="s">
        <v>315</v>
      </c>
    </row>
    <row r="49" spans="1:8" ht="22.5" customHeight="1">
      <c r="A49" s="1" t="s">
        <v>316</v>
      </c>
      <c r="C49" s="673" t="str">
        <f>CONCATENATE(借受者名_漢字,"　",代表者名_漢字)</f>
        <v>　</v>
      </c>
      <c r="D49" s="673"/>
      <c r="E49" s="673"/>
      <c r="F49" s="673"/>
      <c r="G49" s="673"/>
      <c r="H49" s="673"/>
    </row>
    <row r="50" spans="1:8" ht="22.5" customHeight="1">
      <c r="A50" s="1" t="s">
        <v>317</v>
      </c>
      <c r="C50" s="673">
        <f>住所_住所</f>
        <v>0</v>
      </c>
      <c r="D50" s="673"/>
      <c r="E50" s="673"/>
      <c r="F50" s="673"/>
      <c r="G50" s="673"/>
      <c r="H50" s="673"/>
    </row>
    <row r="51" spans="1:8" ht="22.5" customHeight="1">
      <c r="A51" s="1" t="s">
        <v>788</v>
      </c>
      <c r="C51" s="260"/>
      <c r="D51" s="260"/>
      <c r="E51" s="260"/>
      <c r="F51" s="260"/>
      <c r="G51" s="260"/>
      <c r="H51" s="260"/>
    </row>
    <row r="52" spans="3:8" ht="22.5" customHeight="1">
      <c r="C52" s="673" t="str">
        <f>CONCATENATE(機械2_機械名,"　",機械2_銘柄,"　",機械2_形式)</f>
        <v>　　</v>
      </c>
      <c r="D52" s="673"/>
      <c r="E52" s="673"/>
      <c r="F52" s="673"/>
      <c r="G52" s="673"/>
      <c r="H52" s="673"/>
    </row>
    <row r="53" spans="3:8" ht="22.5" customHeight="1">
      <c r="C53" s="858">
        <f>機械2_見積価格</f>
        <v>0</v>
      </c>
      <c r="D53" s="858"/>
      <c r="E53" s="858"/>
      <c r="F53" s="858"/>
      <c r="G53" s="260"/>
      <c r="H53" s="260"/>
    </row>
    <row r="54" spans="1:8" ht="22.5" customHeight="1">
      <c r="A54" s="1" t="s">
        <v>705</v>
      </c>
      <c r="C54" s="846">
        <f>機械2_現地納入業者_名称</f>
        <v>0</v>
      </c>
      <c r="D54" s="847"/>
      <c r="E54" s="847"/>
      <c r="F54" s="847"/>
      <c r="G54" s="847"/>
      <c r="H54" s="260"/>
    </row>
    <row r="55" spans="3:6" ht="22.5" customHeight="1">
      <c r="C55" s="64"/>
      <c r="D55" s="64"/>
      <c r="E55" s="64"/>
      <c r="F55" s="64"/>
    </row>
    <row r="56" spans="1:6" ht="22.5" customHeight="1">
      <c r="A56" s="1" t="s">
        <v>686</v>
      </c>
      <c r="C56" s="64"/>
      <c r="D56" s="64"/>
      <c r="E56" s="64"/>
      <c r="F56" s="64"/>
    </row>
    <row r="57" spans="1:6" ht="22.5" customHeight="1">
      <c r="A57" s="845">
        <f>IF(機械2_見積合わせの選定基準="","",機械2_見積合わせの選定基準)</f>
      </c>
      <c r="B57" s="845"/>
      <c r="C57" s="845"/>
      <c r="D57" s="845"/>
      <c r="E57" s="845"/>
      <c r="F57" s="845"/>
    </row>
    <row r="58" spans="1:6" ht="22.5" customHeight="1">
      <c r="A58" s="845"/>
      <c r="B58" s="845"/>
      <c r="C58" s="845"/>
      <c r="D58" s="845"/>
      <c r="E58" s="845"/>
      <c r="F58" s="845"/>
    </row>
    <row r="59" spans="1:6" ht="22.5" customHeight="1">
      <c r="A59" s="845"/>
      <c r="B59" s="845"/>
      <c r="C59" s="845"/>
      <c r="D59" s="845"/>
      <c r="E59" s="845"/>
      <c r="F59" s="845"/>
    </row>
    <row r="60" spans="1:6" ht="22.5" customHeight="1">
      <c r="A60" s="845"/>
      <c r="B60" s="845"/>
      <c r="C60" s="845"/>
      <c r="D60" s="845"/>
      <c r="E60" s="845"/>
      <c r="F60" s="845"/>
    </row>
    <row r="61" spans="1:6" ht="22.5" customHeight="1">
      <c r="A61" s="180"/>
      <c r="B61" s="180"/>
      <c r="C61" s="180"/>
      <c r="D61" s="180"/>
      <c r="E61" s="180"/>
      <c r="F61" s="180"/>
    </row>
    <row r="62" ht="22.5" customHeight="1">
      <c r="A62" s="1" t="s">
        <v>687</v>
      </c>
    </row>
    <row r="63" ht="22.5" customHeight="1">
      <c r="A63" s="1" t="s">
        <v>318</v>
      </c>
    </row>
    <row r="64" spans="1:8" ht="22.5" customHeight="1">
      <c r="A64" s="20"/>
      <c r="B64" s="20"/>
      <c r="C64" s="20"/>
      <c r="D64" s="20"/>
      <c r="E64" s="20"/>
      <c r="F64" s="20"/>
      <c r="G64" s="20"/>
      <c r="H64" s="20"/>
    </row>
    <row r="65" spans="1:8" ht="22.5" customHeight="1">
      <c r="A65" s="763" t="s">
        <v>328</v>
      </c>
      <c r="B65" s="856"/>
      <c r="C65" s="850" t="s">
        <v>330</v>
      </c>
      <c r="D65" s="850"/>
      <c r="E65" s="851"/>
      <c r="F65" s="20"/>
      <c r="G65" s="20"/>
      <c r="H65" s="20"/>
    </row>
    <row r="66" spans="1:8" ht="22.5" customHeight="1">
      <c r="A66" s="857">
        <f>機械2_現地納入業者_名称</f>
        <v>0</v>
      </c>
      <c r="B66" s="650"/>
      <c r="C66" s="843">
        <f>機械2_見積価格</f>
        <v>0</v>
      </c>
      <c r="D66" s="843"/>
      <c r="E66" s="844"/>
      <c r="F66" s="20"/>
      <c r="G66" s="20"/>
      <c r="H66" s="20"/>
    </row>
    <row r="67" spans="1:8" ht="22.5" customHeight="1">
      <c r="A67" s="852">
        <f>IF(機械2_参加業者名2_参加業者名="","",機械2_参加業者名2_参加業者名)</f>
      </c>
      <c r="B67" s="757"/>
      <c r="C67" s="843">
        <f>IF(機械2_参加業者名2_見積価格="","",機械2_参加業者名2_見積価格)</f>
        <v>0</v>
      </c>
      <c r="D67" s="843"/>
      <c r="E67" s="844"/>
      <c r="F67" s="20"/>
      <c r="G67" s="20"/>
      <c r="H67" s="20"/>
    </row>
    <row r="68" spans="1:8" ht="22.5" customHeight="1">
      <c r="A68" s="853">
        <f>IF(機械2_参加業者名3_参加業者名="","",機械2_参加業者名3_参加業者名)</f>
      </c>
      <c r="B68" s="706"/>
      <c r="C68" s="854">
        <f>IF(機械2_参加業者名3_見積価格="","",機械2_参加業者名3_見積価格)</f>
        <v>0</v>
      </c>
      <c r="D68" s="854"/>
      <c r="E68" s="855"/>
      <c r="F68" s="20"/>
      <c r="G68" s="20"/>
      <c r="H68" s="20"/>
    </row>
    <row r="69" spans="1:8" ht="22.5" customHeight="1">
      <c r="A69" s="20"/>
      <c r="B69" s="20"/>
      <c r="C69" s="20"/>
      <c r="D69" s="20"/>
      <c r="E69" s="20"/>
      <c r="F69" s="20"/>
      <c r="G69" s="20"/>
      <c r="H69" s="20"/>
    </row>
    <row r="70" spans="1:8" ht="22.5" customHeight="1">
      <c r="A70" s="652" t="s">
        <v>852</v>
      </c>
      <c r="B70" s="652"/>
      <c r="C70" s="652"/>
      <c r="D70" s="652"/>
      <c r="E70" s="652"/>
      <c r="F70" s="652"/>
      <c r="G70" s="652"/>
      <c r="H70" s="652"/>
    </row>
    <row r="71" spans="1:8" ht="22.5" customHeight="1">
      <c r="A71" s="1" t="s">
        <v>851</v>
      </c>
      <c r="F71" s="841">
        <f>申請月日</f>
        <v>0</v>
      </c>
      <c r="G71" s="841"/>
      <c r="H71" s="764"/>
    </row>
    <row r="72" spans="3:6" ht="22.5" customHeight="1">
      <c r="C72" s="3"/>
      <c r="D72" s="3"/>
      <c r="E72" s="3"/>
      <c r="F72" s="16"/>
    </row>
    <row r="73" spans="1:6" ht="22.5" customHeight="1">
      <c r="A73" s="842" t="s">
        <v>303</v>
      </c>
      <c r="B73" s="842"/>
      <c r="C73" s="3"/>
      <c r="D73" s="3"/>
      <c r="F73" s="16"/>
    </row>
    <row r="74" spans="1:6" ht="22.5" customHeight="1">
      <c r="A74" s="14" t="s">
        <v>304</v>
      </c>
      <c r="B74" s="3" t="s">
        <v>312</v>
      </c>
      <c r="C74" s="1" t="s">
        <v>1130</v>
      </c>
      <c r="F74" s="10"/>
    </row>
    <row r="75" spans="5:8" ht="22.5" customHeight="1">
      <c r="E75" s="17" t="s">
        <v>313</v>
      </c>
      <c r="F75" s="670">
        <f>借受団体_団体名</f>
        <v>0</v>
      </c>
      <c r="G75" s="670"/>
      <c r="H75" s="1" t="s">
        <v>329</v>
      </c>
    </row>
    <row r="76" spans="5:8" ht="22.5" customHeight="1">
      <c r="E76" s="17" t="s">
        <v>314</v>
      </c>
      <c r="F76" s="652" t="str">
        <f>CONCATENATE(借受団体_代表者区分,"　",借受団体_代表者名)</f>
        <v>　</v>
      </c>
      <c r="G76" s="652"/>
      <c r="H76" s="3" t="s">
        <v>1134</v>
      </c>
    </row>
    <row r="78" spans="1:8" ht="22.5" customHeight="1">
      <c r="A78" s="848" t="s">
        <v>684</v>
      </c>
      <c r="B78" s="848"/>
      <c r="C78" s="848"/>
      <c r="D78" s="848"/>
      <c r="E78" s="848"/>
      <c r="F78" s="848"/>
      <c r="G78" s="848"/>
      <c r="H78" s="848"/>
    </row>
    <row r="79" spans="2:7" ht="22.5" customHeight="1">
      <c r="B79" s="14" t="s">
        <v>218</v>
      </c>
      <c r="C79" s="652" t="str">
        <f>事業名</f>
        <v>畜産排水対策緊急支援事業</v>
      </c>
      <c r="D79" s="652"/>
      <c r="E79" s="652"/>
      <c r="F79" s="652"/>
      <c r="G79" s="1" t="s">
        <v>688</v>
      </c>
    </row>
    <row r="80" spans="1:8" ht="22.5" customHeight="1">
      <c r="A80" s="749" t="s">
        <v>378</v>
      </c>
      <c r="B80" s="749"/>
      <c r="C80" s="749"/>
      <c r="D80" s="749"/>
      <c r="E80" s="749"/>
      <c r="F80" s="749"/>
      <c r="G80" s="749"/>
      <c r="H80" s="749"/>
    </row>
    <row r="81" spans="1:8" ht="22.5" customHeight="1">
      <c r="A81" s="749"/>
      <c r="B81" s="749"/>
      <c r="C81" s="749"/>
      <c r="D81" s="749"/>
      <c r="E81" s="749"/>
      <c r="F81" s="749"/>
      <c r="G81" s="749"/>
      <c r="H81" s="749"/>
    </row>
    <row r="82" spans="1:8" ht="22.5" customHeight="1">
      <c r="A82" s="670" t="s">
        <v>1135</v>
      </c>
      <c r="B82" s="670"/>
      <c r="C82" s="670"/>
      <c r="D82" s="670"/>
      <c r="E82" s="670"/>
      <c r="F82" s="670"/>
      <c r="G82" s="670"/>
      <c r="H82" s="670"/>
    </row>
    <row r="83" ht="22.5" customHeight="1">
      <c r="A83" s="1" t="s">
        <v>315</v>
      </c>
    </row>
    <row r="84" spans="1:8" ht="22.5" customHeight="1">
      <c r="A84" s="1" t="s">
        <v>316</v>
      </c>
      <c r="C84" s="673" t="str">
        <f>CONCATENATE(借受者名_漢字,"　",代表者名_漢字)</f>
        <v>　</v>
      </c>
      <c r="D84" s="673"/>
      <c r="E84" s="673"/>
      <c r="F84" s="673"/>
      <c r="G84" s="673"/>
      <c r="H84" s="673"/>
    </row>
    <row r="85" spans="1:8" ht="22.5" customHeight="1">
      <c r="A85" s="1" t="s">
        <v>317</v>
      </c>
      <c r="C85" s="673">
        <f>住所_住所</f>
        <v>0</v>
      </c>
      <c r="D85" s="673"/>
      <c r="E85" s="673"/>
      <c r="F85" s="673"/>
      <c r="G85" s="673"/>
      <c r="H85" s="673"/>
    </row>
    <row r="86" spans="1:8" ht="22.5" customHeight="1">
      <c r="A86" s="1" t="s">
        <v>788</v>
      </c>
      <c r="C86" s="260"/>
      <c r="D86" s="260"/>
      <c r="E86" s="260"/>
      <c r="F86" s="260"/>
      <c r="G86" s="260"/>
      <c r="H86" s="260"/>
    </row>
    <row r="87" spans="3:8" ht="22.5" customHeight="1">
      <c r="C87" s="673" t="str">
        <f>CONCATENATE(機械3_機械名,"　",機械3_銘柄,"　",機械3_形式)</f>
        <v>　　</v>
      </c>
      <c r="D87" s="673"/>
      <c r="E87" s="673"/>
      <c r="F87" s="673"/>
      <c r="G87" s="673"/>
      <c r="H87" s="673"/>
    </row>
    <row r="88" spans="3:8" ht="22.5" customHeight="1">
      <c r="C88" s="858">
        <f>機械3_見積価格</f>
        <v>0</v>
      </c>
      <c r="D88" s="858"/>
      <c r="E88" s="858"/>
      <c r="F88" s="858"/>
      <c r="G88" s="260"/>
      <c r="H88" s="260"/>
    </row>
    <row r="89" spans="1:8" ht="22.5" customHeight="1">
      <c r="A89" s="1" t="s">
        <v>705</v>
      </c>
      <c r="C89" s="846">
        <f>機械3_現地納入業者_名称</f>
        <v>0</v>
      </c>
      <c r="D89" s="847"/>
      <c r="E89" s="847"/>
      <c r="F89" s="847"/>
      <c r="G89" s="847"/>
      <c r="H89" s="260"/>
    </row>
    <row r="90" spans="3:6" ht="22.5" customHeight="1">
      <c r="C90" s="64"/>
      <c r="D90" s="64"/>
      <c r="E90" s="64"/>
      <c r="F90" s="64"/>
    </row>
    <row r="91" spans="1:6" ht="22.5" customHeight="1">
      <c r="A91" s="1" t="s">
        <v>686</v>
      </c>
      <c r="C91" s="64"/>
      <c r="D91" s="64"/>
      <c r="E91" s="64"/>
      <c r="F91" s="64"/>
    </row>
    <row r="92" spans="1:6" ht="22.5" customHeight="1">
      <c r="A92" s="845">
        <f>IF(機械3_見積合わせの選定基準="","",機械3_見積合わせの選定基準)</f>
      </c>
      <c r="B92" s="845"/>
      <c r="C92" s="845"/>
      <c r="D92" s="845"/>
      <c r="E92" s="845"/>
      <c r="F92" s="845"/>
    </row>
    <row r="93" spans="1:6" ht="22.5" customHeight="1">
      <c r="A93" s="845"/>
      <c r="B93" s="845"/>
      <c r="C93" s="845"/>
      <c r="D93" s="845"/>
      <c r="E93" s="845"/>
      <c r="F93" s="845"/>
    </row>
    <row r="94" spans="1:6" ht="22.5" customHeight="1">
      <c r="A94" s="845"/>
      <c r="B94" s="845"/>
      <c r="C94" s="845"/>
      <c r="D94" s="845"/>
      <c r="E94" s="845"/>
      <c r="F94" s="845"/>
    </row>
    <row r="95" spans="1:6" ht="22.5" customHeight="1">
      <c r="A95" s="845"/>
      <c r="B95" s="845"/>
      <c r="C95" s="845"/>
      <c r="D95" s="845"/>
      <c r="E95" s="845"/>
      <c r="F95" s="845"/>
    </row>
    <row r="96" spans="1:6" ht="22.5" customHeight="1">
      <c r="A96" s="180"/>
      <c r="B96" s="180"/>
      <c r="C96" s="180"/>
      <c r="D96" s="180"/>
      <c r="E96" s="180"/>
      <c r="F96" s="180"/>
    </row>
    <row r="97" ht="22.5" customHeight="1">
      <c r="A97" s="1" t="s">
        <v>687</v>
      </c>
    </row>
    <row r="98" ht="22.5" customHeight="1">
      <c r="A98" s="1" t="s">
        <v>318</v>
      </c>
    </row>
    <row r="99" spans="1:8" ht="22.5" customHeight="1">
      <c r="A99" s="20"/>
      <c r="B99" s="20"/>
      <c r="C99" s="20"/>
      <c r="D99" s="20"/>
      <c r="E99" s="20"/>
      <c r="F99" s="20"/>
      <c r="G99" s="20"/>
      <c r="H99" s="20"/>
    </row>
    <row r="100" spans="1:8" ht="22.5" customHeight="1">
      <c r="A100" s="763" t="s">
        <v>328</v>
      </c>
      <c r="B100" s="856"/>
      <c r="C100" s="850" t="s">
        <v>330</v>
      </c>
      <c r="D100" s="850"/>
      <c r="E100" s="851"/>
      <c r="F100" s="20"/>
      <c r="G100" s="20"/>
      <c r="H100" s="20"/>
    </row>
    <row r="101" spans="1:8" ht="22.5" customHeight="1">
      <c r="A101" s="857">
        <f>機械3_現地納入業者_名称</f>
        <v>0</v>
      </c>
      <c r="B101" s="650"/>
      <c r="C101" s="843">
        <f>機械3_見積価格</f>
        <v>0</v>
      </c>
      <c r="D101" s="843"/>
      <c r="E101" s="844"/>
      <c r="F101" s="20"/>
      <c r="G101" s="20"/>
      <c r="H101" s="20"/>
    </row>
    <row r="102" spans="1:8" ht="22.5" customHeight="1">
      <c r="A102" s="852">
        <f>IF(機械3_参加業者名2_参加業者名="","",機械3_参加業者名2_参加業者名)</f>
      </c>
      <c r="B102" s="757"/>
      <c r="C102" s="843">
        <f>IF(機械3_参加業者名2_見積価格="","",機械3_参加業者名2_見積価格)</f>
        <v>0</v>
      </c>
      <c r="D102" s="843"/>
      <c r="E102" s="844"/>
      <c r="F102" s="20"/>
      <c r="G102" s="20"/>
      <c r="H102" s="20"/>
    </row>
    <row r="103" spans="1:8" ht="22.5" customHeight="1">
      <c r="A103" s="853">
        <f>IF(機械3_参加業者名3_参加業者名="","",機械3_参加業者名3_参加業者名)</f>
      </c>
      <c r="B103" s="706"/>
      <c r="C103" s="854">
        <f>IF(機械3_参加業者名3_見積価格="","",機械3_参加業者名3_見積価格)</f>
        <v>0</v>
      </c>
      <c r="D103" s="854"/>
      <c r="E103" s="855"/>
      <c r="F103" s="20"/>
      <c r="G103" s="20"/>
      <c r="H103" s="20"/>
    </row>
    <row r="104" spans="1:8" ht="22.5" customHeight="1">
      <c r="A104" s="20"/>
      <c r="B104" s="20"/>
      <c r="C104" s="20"/>
      <c r="D104" s="20"/>
      <c r="E104" s="20"/>
      <c r="F104" s="20"/>
      <c r="G104" s="20"/>
      <c r="H104" s="20"/>
    </row>
    <row r="105" spans="1:8" ht="22.5" customHeight="1">
      <c r="A105" s="652" t="s">
        <v>852</v>
      </c>
      <c r="B105" s="652"/>
      <c r="C105" s="652"/>
      <c r="D105" s="652"/>
      <c r="E105" s="652"/>
      <c r="F105" s="652"/>
      <c r="G105" s="652"/>
      <c r="H105" s="652"/>
    </row>
    <row r="106" spans="1:8" ht="22.5" customHeight="1">
      <c r="A106" s="1" t="s">
        <v>851</v>
      </c>
      <c r="F106" s="841">
        <f>申請月日</f>
        <v>0</v>
      </c>
      <c r="G106" s="841"/>
      <c r="H106" s="764"/>
    </row>
    <row r="107" spans="3:6" ht="22.5" customHeight="1">
      <c r="C107" s="3"/>
      <c r="D107" s="3"/>
      <c r="E107" s="3"/>
      <c r="F107" s="16"/>
    </row>
    <row r="108" spans="1:6" ht="22.5" customHeight="1">
      <c r="A108" s="842" t="s">
        <v>303</v>
      </c>
      <c r="B108" s="842"/>
      <c r="C108" s="3"/>
      <c r="D108" s="3"/>
      <c r="F108" s="16"/>
    </row>
    <row r="109" spans="1:6" ht="22.5" customHeight="1">
      <c r="A109" s="14" t="s">
        <v>304</v>
      </c>
      <c r="B109" s="3" t="s">
        <v>312</v>
      </c>
      <c r="C109" s="1" t="s">
        <v>1130</v>
      </c>
      <c r="F109" s="10"/>
    </row>
    <row r="110" spans="5:8" ht="22.5" customHeight="1">
      <c r="E110" s="17" t="s">
        <v>313</v>
      </c>
      <c r="F110" s="670">
        <f>借受団体_団体名</f>
        <v>0</v>
      </c>
      <c r="G110" s="670"/>
      <c r="H110" s="1" t="s">
        <v>329</v>
      </c>
    </row>
    <row r="111" spans="5:8" ht="22.5" customHeight="1">
      <c r="E111" s="17" t="s">
        <v>314</v>
      </c>
      <c r="F111" s="652" t="str">
        <f>CONCATENATE(借受団体_代表者区分,"　",借受団体_代表者名)</f>
        <v>　</v>
      </c>
      <c r="G111" s="652"/>
      <c r="H111" s="3" t="s">
        <v>1134</v>
      </c>
    </row>
    <row r="113" spans="1:8" ht="22.5" customHeight="1">
      <c r="A113" s="848" t="s">
        <v>684</v>
      </c>
      <c r="B113" s="848"/>
      <c r="C113" s="848"/>
      <c r="D113" s="848"/>
      <c r="E113" s="848"/>
      <c r="F113" s="848"/>
      <c r="G113" s="848"/>
      <c r="H113" s="848"/>
    </row>
    <row r="114" spans="2:7" ht="22.5" customHeight="1">
      <c r="B114" s="14" t="s">
        <v>218</v>
      </c>
      <c r="C114" s="652" t="str">
        <f>事業名</f>
        <v>畜産排水対策緊急支援事業</v>
      </c>
      <c r="D114" s="652"/>
      <c r="E114" s="652"/>
      <c r="F114" s="652"/>
      <c r="G114" s="1" t="s">
        <v>688</v>
      </c>
    </row>
    <row r="115" spans="1:8" ht="22.5" customHeight="1">
      <c r="A115" s="749" t="s">
        <v>378</v>
      </c>
      <c r="B115" s="749"/>
      <c r="C115" s="749"/>
      <c r="D115" s="749"/>
      <c r="E115" s="749"/>
      <c r="F115" s="749"/>
      <c r="G115" s="749"/>
      <c r="H115" s="749"/>
    </row>
    <row r="116" spans="1:8" ht="22.5" customHeight="1">
      <c r="A116" s="749"/>
      <c r="B116" s="749"/>
      <c r="C116" s="749"/>
      <c r="D116" s="749"/>
      <c r="E116" s="749"/>
      <c r="F116" s="749"/>
      <c r="G116" s="749"/>
      <c r="H116" s="749"/>
    </row>
    <row r="117" spans="1:8" ht="22.5" customHeight="1">
      <c r="A117" s="670" t="s">
        <v>1135</v>
      </c>
      <c r="B117" s="670"/>
      <c r="C117" s="670"/>
      <c r="D117" s="670"/>
      <c r="E117" s="670"/>
      <c r="F117" s="670"/>
      <c r="G117" s="670"/>
      <c r="H117" s="670"/>
    </row>
    <row r="118" ht="22.5" customHeight="1">
      <c r="A118" s="1" t="s">
        <v>315</v>
      </c>
    </row>
    <row r="119" spans="1:8" ht="22.5" customHeight="1">
      <c r="A119" s="1" t="s">
        <v>316</v>
      </c>
      <c r="C119" s="673" t="str">
        <f>CONCATENATE(借受者名_漢字,"　",代表者名_漢字)</f>
        <v>　</v>
      </c>
      <c r="D119" s="673"/>
      <c r="E119" s="673"/>
      <c r="F119" s="673"/>
      <c r="G119" s="673"/>
      <c r="H119" s="673"/>
    </row>
    <row r="120" spans="1:8" ht="22.5" customHeight="1">
      <c r="A120" s="1" t="s">
        <v>317</v>
      </c>
      <c r="C120" s="673">
        <f>住所_住所</f>
        <v>0</v>
      </c>
      <c r="D120" s="673"/>
      <c r="E120" s="673"/>
      <c r="F120" s="673"/>
      <c r="G120" s="673"/>
      <c r="H120" s="673"/>
    </row>
    <row r="121" ht="22.5" customHeight="1">
      <c r="A121" s="1" t="s">
        <v>788</v>
      </c>
    </row>
    <row r="122" spans="3:8" ht="22.5" customHeight="1">
      <c r="C122" s="673" t="str">
        <f>CONCATENATE(機械4_機械名,"　",機械4_銘柄,"　",機械4_形式)</f>
        <v>　　</v>
      </c>
      <c r="D122" s="673"/>
      <c r="E122" s="673"/>
      <c r="F122" s="673"/>
      <c r="G122" s="673"/>
      <c r="H122" s="673"/>
    </row>
    <row r="123" spans="3:6" ht="22.5" customHeight="1">
      <c r="C123" s="849">
        <f>機械4_見積価格</f>
        <v>0</v>
      </c>
      <c r="D123" s="849"/>
      <c r="E123" s="849"/>
      <c r="F123" s="849"/>
    </row>
    <row r="124" spans="1:7" ht="22.5" customHeight="1">
      <c r="A124" s="1" t="s">
        <v>705</v>
      </c>
      <c r="C124" s="846">
        <f>機械4_現地納入業者_名称</f>
        <v>0</v>
      </c>
      <c r="D124" s="847"/>
      <c r="E124" s="847"/>
      <c r="F124" s="847"/>
      <c r="G124" s="847"/>
    </row>
    <row r="125" spans="3:6" ht="22.5" customHeight="1">
      <c r="C125" s="64"/>
      <c r="D125" s="64"/>
      <c r="E125" s="64"/>
      <c r="F125" s="64"/>
    </row>
    <row r="126" spans="1:6" ht="22.5" customHeight="1">
      <c r="A126" s="1" t="s">
        <v>686</v>
      </c>
      <c r="C126" s="64"/>
      <c r="D126" s="64"/>
      <c r="E126" s="64"/>
      <c r="F126" s="64"/>
    </row>
    <row r="127" spans="1:6" ht="22.5" customHeight="1">
      <c r="A127" s="845">
        <f>IF(機械4_見積合わせの選定基準="","",機械4_見積合わせの選定基準)</f>
      </c>
      <c r="B127" s="845"/>
      <c r="C127" s="845"/>
      <c r="D127" s="845"/>
      <c r="E127" s="845"/>
      <c r="F127" s="845"/>
    </row>
    <row r="128" spans="1:6" ht="22.5" customHeight="1">
      <c r="A128" s="845"/>
      <c r="B128" s="845"/>
      <c r="C128" s="845"/>
      <c r="D128" s="845"/>
      <c r="E128" s="845"/>
      <c r="F128" s="845"/>
    </row>
    <row r="129" spans="1:6" ht="22.5" customHeight="1">
      <c r="A129" s="845"/>
      <c r="B129" s="845"/>
      <c r="C129" s="845"/>
      <c r="D129" s="845"/>
      <c r="E129" s="845"/>
      <c r="F129" s="845"/>
    </row>
    <row r="130" spans="1:6" ht="22.5" customHeight="1">
      <c r="A130" s="845"/>
      <c r="B130" s="845"/>
      <c r="C130" s="845"/>
      <c r="D130" s="845"/>
      <c r="E130" s="845"/>
      <c r="F130" s="845"/>
    </row>
    <row r="131" spans="1:6" ht="22.5" customHeight="1">
      <c r="A131" s="180"/>
      <c r="B131" s="180"/>
      <c r="C131" s="180"/>
      <c r="D131" s="180"/>
      <c r="E131" s="180"/>
      <c r="F131" s="180"/>
    </row>
    <row r="132" ht="22.5" customHeight="1">
      <c r="A132" s="1" t="s">
        <v>687</v>
      </c>
    </row>
    <row r="133" ht="22.5" customHeight="1">
      <c r="A133" s="1" t="s">
        <v>318</v>
      </c>
    </row>
    <row r="134" spans="1:8" ht="22.5" customHeight="1">
      <c r="A134" s="20"/>
      <c r="B134" s="20"/>
      <c r="C134" s="20"/>
      <c r="D134" s="20"/>
      <c r="E134" s="20"/>
      <c r="F134" s="20"/>
      <c r="G134" s="20"/>
      <c r="H134" s="20"/>
    </row>
    <row r="135" spans="1:8" ht="22.5" customHeight="1">
      <c r="A135" s="763" t="s">
        <v>328</v>
      </c>
      <c r="B135" s="856"/>
      <c r="C135" s="850" t="s">
        <v>330</v>
      </c>
      <c r="D135" s="850"/>
      <c r="E135" s="851"/>
      <c r="F135" s="20"/>
      <c r="G135" s="20"/>
      <c r="H135" s="20"/>
    </row>
    <row r="136" spans="1:8" ht="22.5" customHeight="1">
      <c r="A136" s="857">
        <f>機械4_現地納入業者_名称</f>
        <v>0</v>
      </c>
      <c r="B136" s="650"/>
      <c r="C136" s="843">
        <f>機械4_見積価格</f>
        <v>0</v>
      </c>
      <c r="D136" s="843"/>
      <c r="E136" s="844"/>
      <c r="F136" s="20"/>
      <c r="G136" s="20"/>
      <c r="H136" s="20"/>
    </row>
    <row r="137" spans="1:8" ht="22.5" customHeight="1">
      <c r="A137" s="852">
        <f>IF(機械4_参加業者名2_参加業者名="","",機械4_参加業者名2_参加業者名)</f>
      </c>
      <c r="B137" s="757"/>
      <c r="C137" s="843">
        <f>IF(機械4_参加業者名2_見積価格="","",機械4_参加業者名2_見積価格)</f>
        <v>0</v>
      </c>
      <c r="D137" s="843"/>
      <c r="E137" s="844"/>
      <c r="F137" s="20"/>
      <c r="G137" s="20"/>
      <c r="H137" s="20"/>
    </row>
    <row r="138" spans="1:8" ht="22.5" customHeight="1">
      <c r="A138" s="853">
        <f>IF(機械4_参加業者名3_参加業者名="","",機械4_参加業者名3_参加業者名)</f>
      </c>
      <c r="B138" s="706"/>
      <c r="C138" s="854">
        <f>IF(機械4_参加業者名3_見積価格="","",機械4_参加業者名3_見積価格)</f>
        <v>0</v>
      </c>
      <c r="D138" s="854"/>
      <c r="E138" s="855"/>
      <c r="F138" s="20"/>
      <c r="G138" s="20"/>
      <c r="H138" s="20"/>
    </row>
    <row r="139" spans="1:8" ht="22.5" customHeight="1">
      <c r="A139" s="20"/>
      <c r="B139" s="20"/>
      <c r="C139" s="20"/>
      <c r="D139" s="20"/>
      <c r="E139" s="20"/>
      <c r="F139" s="20"/>
      <c r="G139" s="20"/>
      <c r="H139" s="20"/>
    </row>
    <row r="140" spans="1:8" ht="22.5" customHeight="1">
      <c r="A140" s="652" t="s">
        <v>852</v>
      </c>
      <c r="B140" s="652"/>
      <c r="C140" s="652"/>
      <c r="D140" s="652"/>
      <c r="E140" s="652"/>
      <c r="F140" s="652"/>
      <c r="G140" s="652"/>
      <c r="H140" s="652"/>
    </row>
  </sheetData>
  <sheetProtection password="C704" sheet="1" selectLockedCells="1" selectUnlockedCells="1"/>
  <mergeCells count="92">
    <mergeCell ref="A138:B138"/>
    <mergeCell ref="C138:E138"/>
    <mergeCell ref="A140:H140"/>
    <mergeCell ref="A136:B136"/>
    <mergeCell ref="C136:E136"/>
    <mergeCell ref="A137:B137"/>
    <mergeCell ref="C137:E137"/>
    <mergeCell ref="C120:H120"/>
    <mergeCell ref="C122:H122"/>
    <mergeCell ref="C123:F123"/>
    <mergeCell ref="C124:G124"/>
    <mergeCell ref="F106:H106"/>
    <mergeCell ref="A127:F130"/>
    <mergeCell ref="A135:B135"/>
    <mergeCell ref="C135:E135"/>
    <mergeCell ref="F111:G111"/>
    <mergeCell ref="A113:H113"/>
    <mergeCell ref="C114:F114"/>
    <mergeCell ref="A115:H116"/>
    <mergeCell ref="A117:H117"/>
    <mergeCell ref="C119:H119"/>
    <mergeCell ref="C102:E102"/>
    <mergeCell ref="A103:B103"/>
    <mergeCell ref="C103:E103"/>
    <mergeCell ref="A105:H105"/>
    <mergeCell ref="C85:H85"/>
    <mergeCell ref="C87:H87"/>
    <mergeCell ref="A108:B108"/>
    <mergeCell ref="F110:G110"/>
    <mergeCell ref="A92:F95"/>
    <mergeCell ref="A100:B100"/>
    <mergeCell ref="C100:E100"/>
    <mergeCell ref="A101:B101"/>
    <mergeCell ref="C101:E101"/>
    <mergeCell ref="A102:B102"/>
    <mergeCell ref="C88:F88"/>
    <mergeCell ref="C89:G89"/>
    <mergeCell ref="A73:B73"/>
    <mergeCell ref="F75:G75"/>
    <mergeCell ref="F76:G76"/>
    <mergeCell ref="A78:H78"/>
    <mergeCell ref="C79:F79"/>
    <mergeCell ref="A80:H81"/>
    <mergeCell ref="A82:H82"/>
    <mergeCell ref="C84:H84"/>
    <mergeCell ref="A67:B67"/>
    <mergeCell ref="C67:E67"/>
    <mergeCell ref="A68:B68"/>
    <mergeCell ref="C68:E68"/>
    <mergeCell ref="C49:H49"/>
    <mergeCell ref="C50:H50"/>
    <mergeCell ref="A70:H70"/>
    <mergeCell ref="F71:H71"/>
    <mergeCell ref="C54:G54"/>
    <mergeCell ref="A57:F60"/>
    <mergeCell ref="A65:B65"/>
    <mergeCell ref="C65:E65"/>
    <mergeCell ref="A66:B66"/>
    <mergeCell ref="C66:E66"/>
    <mergeCell ref="C52:H52"/>
    <mergeCell ref="C53:F53"/>
    <mergeCell ref="F36:H36"/>
    <mergeCell ref="A38:B38"/>
    <mergeCell ref="F40:G40"/>
    <mergeCell ref="F41:G41"/>
    <mergeCell ref="A43:H43"/>
    <mergeCell ref="C44:F44"/>
    <mergeCell ref="A45:H46"/>
    <mergeCell ref="A47:H47"/>
    <mergeCell ref="A35:H35"/>
    <mergeCell ref="C9:F9"/>
    <mergeCell ref="A32:B32"/>
    <mergeCell ref="A33:B33"/>
    <mergeCell ref="C15:H15"/>
    <mergeCell ref="C32:E32"/>
    <mergeCell ref="C33:E33"/>
    <mergeCell ref="A30:B30"/>
    <mergeCell ref="A31:B31"/>
    <mergeCell ref="C17:H17"/>
    <mergeCell ref="C31:E31"/>
    <mergeCell ref="A22:F25"/>
    <mergeCell ref="C19:G19"/>
    <mergeCell ref="A8:H8"/>
    <mergeCell ref="A10:H11"/>
    <mergeCell ref="A12:H12"/>
    <mergeCell ref="C14:H14"/>
    <mergeCell ref="C18:F18"/>
    <mergeCell ref="C30:E30"/>
    <mergeCell ref="F1:H1"/>
    <mergeCell ref="A3:B3"/>
    <mergeCell ref="F6:G6"/>
    <mergeCell ref="F5:G5"/>
  </mergeCells>
  <printOptions horizontalCentered="1"/>
  <pageMargins left="0.8661417322834646" right="0.6692913385826772" top="1.1023622047244095" bottom="0.984251968503937" header="0.5118110236220472" footer="0.5118110236220472"/>
  <pageSetup blackAndWhite="1" fitToHeight="4" horizontalDpi="300" verticalDpi="300" orientation="portrait" paperSize="9" scale="92" r:id="rId1"/>
  <rowBreaks count="3" manualBreakCount="3">
    <brk id="35" max="255" man="1"/>
    <brk id="70" max="255" man="1"/>
    <brk id="105" max="255" man="1"/>
  </rowBreaks>
</worksheet>
</file>

<file path=xl/worksheets/sheet11.xml><?xml version="1.0" encoding="utf-8"?>
<worksheet xmlns="http://schemas.openxmlformats.org/spreadsheetml/2006/main" xmlns:r="http://schemas.openxmlformats.org/officeDocument/2006/relationships">
  <sheetPr codeName="shtYoshiki62"/>
  <dimension ref="A1:H134"/>
  <sheetViews>
    <sheetView view="pageBreakPreview" zoomScaleSheetLayoutView="100" zoomScalePageLayoutView="0" workbookViewId="0" topLeftCell="A88">
      <selection activeCell="A112" sqref="A112:H113"/>
    </sheetView>
  </sheetViews>
  <sheetFormatPr defaultColWidth="5.375" defaultRowHeight="22.5" customHeight="1"/>
  <cols>
    <col min="1" max="1" width="14.125" style="1" customWidth="1"/>
    <col min="2" max="2" width="18.625" style="1" customWidth="1"/>
    <col min="3" max="3" width="3.375" style="1" bestFit="1" customWidth="1"/>
    <col min="4" max="4" width="8.125" style="2" customWidth="1"/>
    <col min="5" max="5" width="11.00390625" style="2" bestFit="1" customWidth="1"/>
    <col min="6" max="6" width="15.25390625" style="2" customWidth="1"/>
    <col min="7" max="7" width="13.00390625" style="1" bestFit="1" customWidth="1"/>
    <col min="8" max="8" width="6.125" style="1" customWidth="1"/>
    <col min="9" max="16384" width="5.375" style="1" customWidth="1"/>
  </cols>
  <sheetData>
    <row r="1" spans="1:8" ht="22.5" customHeight="1">
      <c r="A1" s="1" t="s">
        <v>853</v>
      </c>
      <c r="F1" s="841">
        <f>申請月日</f>
        <v>0</v>
      </c>
      <c r="G1" s="841"/>
      <c r="H1" s="764"/>
    </row>
    <row r="2" spans="3:6" ht="22.5" customHeight="1">
      <c r="C2" s="3"/>
      <c r="D2" s="3"/>
      <c r="E2" s="3"/>
      <c r="F2" s="16"/>
    </row>
    <row r="3" spans="1:6" ht="22.5" customHeight="1">
      <c r="A3" s="842" t="s">
        <v>303</v>
      </c>
      <c r="B3" s="842"/>
      <c r="C3" s="3"/>
      <c r="D3" s="3"/>
      <c r="F3" s="16"/>
    </row>
    <row r="4" spans="1:6" ht="22.5" customHeight="1">
      <c r="A4" s="14" t="s">
        <v>304</v>
      </c>
      <c r="B4" s="3" t="s">
        <v>312</v>
      </c>
      <c r="C4" s="1" t="s">
        <v>1130</v>
      </c>
      <c r="F4" s="10"/>
    </row>
    <row r="5" spans="5:8" ht="22.5" customHeight="1">
      <c r="E5" s="17" t="s">
        <v>313</v>
      </c>
      <c r="F5" s="670">
        <f>借受団体_団体名</f>
        <v>0</v>
      </c>
      <c r="G5" s="670"/>
      <c r="H5" s="1" t="s">
        <v>329</v>
      </c>
    </row>
    <row r="6" spans="5:8" ht="22.5" customHeight="1">
      <c r="E6" s="17" t="s">
        <v>314</v>
      </c>
      <c r="F6" s="652" t="str">
        <f>CONCATENATE(借受団体_代表者区分,"　",借受団体_代表者名)</f>
        <v>　</v>
      </c>
      <c r="G6" s="652"/>
      <c r="H6" s="3" t="s">
        <v>1134</v>
      </c>
    </row>
    <row r="8" spans="1:8" ht="22.5" customHeight="1">
      <c r="A8" s="848" t="s">
        <v>684</v>
      </c>
      <c r="B8" s="848"/>
      <c r="C8" s="848"/>
      <c r="D8" s="848"/>
      <c r="E8" s="848"/>
      <c r="F8" s="848"/>
      <c r="G8" s="848"/>
      <c r="H8" s="848"/>
    </row>
    <row r="9" spans="2:7" ht="22.5" customHeight="1">
      <c r="B9" s="14" t="s">
        <v>218</v>
      </c>
      <c r="C9" s="652" t="str">
        <f>事業名</f>
        <v>畜産排水対策緊急支援事業</v>
      </c>
      <c r="D9" s="652"/>
      <c r="E9" s="652"/>
      <c r="F9" s="652"/>
      <c r="G9" s="1" t="s">
        <v>688</v>
      </c>
    </row>
    <row r="10" spans="1:8" ht="22.5" customHeight="1">
      <c r="A10" s="749" t="s">
        <v>378</v>
      </c>
      <c r="B10" s="749"/>
      <c r="C10" s="749"/>
      <c r="D10" s="749"/>
      <c r="E10" s="749"/>
      <c r="F10" s="749"/>
      <c r="G10" s="749"/>
      <c r="H10" s="749"/>
    </row>
    <row r="11" spans="1:8" ht="22.5" customHeight="1">
      <c r="A11" s="749"/>
      <c r="B11" s="749"/>
      <c r="C11" s="749"/>
      <c r="D11" s="749"/>
      <c r="E11" s="749"/>
      <c r="F11" s="749"/>
      <c r="G11" s="749"/>
      <c r="H11" s="749"/>
    </row>
    <row r="12" spans="1:8" ht="22.5" customHeight="1">
      <c r="A12" s="670" t="s">
        <v>1135</v>
      </c>
      <c r="B12" s="670"/>
      <c r="C12" s="670"/>
      <c r="D12" s="670"/>
      <c r="E12" s="670"/>
      <c r="F12" s="670"/>
      <c r="G12" s="670"/>
      <c r="H12" s="670"/>
    </row>
    <row r="13" ht="22.5" customHeight="1">
      <c r="A13" s="1" t="s">
        <v>315</v>
      </c>
    </row>
    <row r="14" spans="1:8" ht="22.5" customHeight="1">
      <c r="A14" s="1" t="s">
        <v>316</v>
      </c>
      <c r="C14" s="673" t="str">
        <f>CONCATENATE(借受者名_漢字,"　",代表者名_漢字)</f>
        <v>　</v>
      </c>
      <c r="D14" s="673"/>
      <c r="E14" s="673"/>
      <c r="F14" s="673"/>
      <c r="G14" s="673"/>
      <c r="H14" s="673"/>
    </row>
    <row r="15" spans="1:8" ht="22.5" customHeight="1">
      <c r="A15" s="1" t="s">
        <v>317</v>
      </c>
      <c r="C15" s="673">
        <f>住所_住所</f>
        <v>0</v>
      </c>
      <c r="D15" s="673"/>
      <c r="E15" s="673"/>
      <c r="F15" s="673"/>
      <c r="G15" s="673"/>
      <c r="H15" s="673"/>
    </row>
    <row r="16" ht="22.5" customHeight="1">
      <c r="A16" s="1" t="s">
        <v>788</v>
      </c>
    </row>
    <row r="17" spans="3:8" ht="22.5" customHeight="1">
      <c r="C17" s="673" t="str">
        <f>CONCATENATE(機械1_機械名,"　",機械1_銘柄,"　",機械1_形式)</f>
        <v>　　</v>
      </c>
      <c r="D17" s="673"/>
      <c r="E17" s="673"/>
      <c r="F17" s="673"/>
      <c r="G17" s="673"/>
      <c r="H17" s="673"/>
    </row>
    <row r="18" spans="3:6" ht="22.5" customHeight="1">
      <c r="C18" s="849">
        <f>機械1_見積価格</f>
        <v>0</v>
      </c>
      <c r="D18" s="849"/>
      <c r="E18" s="849"/>
      <c r="F18" s="849"/>
    </row>
    <row r="19" spans="1:7" ht="22.5" customHeight="1">
      <c r="A19" s="1" t="s">
        <v>705</v>
      </c>
      <c r="C19" s="846">
        <f>T(機械1_現地納入業者_名称)</f>
      </c>
      <c r="D19" s="847"/>
      <c r="E19" s="847"/>
      <c r="F19" s="847"/>
      <c r="G19" s="847"/>
    </row>
    <row r="20" spans="1:6" ht="22.5" customHeight="1">
      <c r="A20" s="1" t="s">
        <v>686</v>
      </c>
      <c r="C20" s="64"/>
      <c r="D20" s="64"/>
      <c r="E20" s="64"/>
      <c r="F20" s="64"/>
    </row>
    <row r="21" spans="1:6" ht="22.5" customHeight="1">
      <c r="A21" s="845">
        <f>T(機械1_選定理由)</f>
      </c>
      <c r="B21" s="845"/>
      <c r="C21" s="845"/>
      <c r="D21" s="845"/>
      <c r="E21" s="845"/>
      <c r="F21" s="845"/>
    </row>
    <row r="22" spans="1:6" ht="22.5" customHeight="1">
      <c r="A22" s="845"/>
      <c r="B22" s="845"/>
      <c r="C22" s="845"/>
      <c r="D22" s="845"/>
      <c r="E22" s="845"/>
      <c r="F22" s="845"/>
    </row>
    <row r="23" spans="1:6" ht="22.5" customHeight="1">
      <c r="A23" s="845"/>
      <c r="B23" s="845"/>
      <c r="C23" s="845"/>
      <c r="D23" s="845"/>
      <c r="E23" s="845"/>
      <c r="F23" s="845"/>
    </row>
    <row r="24" spans="1:6" ht="22.5" customHeight="1">
      <c r="A24" s="845"/>
      <c r="B24" s="845"/>
      <c r="C24" s="845"/>
      <c r="D24" s="845"/>
      <c r="E24" s="845"/>
      <c r="F24" s="845"/>
    </row>
    <row r="25" spans="1:6" ht="22.5" customHeight="1">
      <c r="A25" s="180"/>
      <c r="B25" s="180"/>
      <c r="C25" s="180"/>
      <c r="D25" s="180"/>
      <c r="E25" s="180"/>
      <c r="F25" s="180"/>
    </row>
    <row r="26" ht="22.5" customHeight="1">
      <c r="A26" s="1" t="s">
        <v>687</v>
      </c>
    </row>
    <row r="27" ht="22.5" customHeight="1">
      <c r="A27" s="1" t="s">
        <v>759</v>
      </c>
    </row>
    <row r="28" spans="1:8" ht="22.5" customHeight="1">
      <c r="A28" s="20"/>
      <c r="B28" s="20"/>
      <c r="C28" s="20"/>
      <c r="D28" s="20"/>
      <c r="E28" s="20"/>
      <c r="F28" s="20"/>
      <c r="G28" s="20"/>
      <c r="H28" s="20"/>
    </row>
    <row r="29" spans="1:8" ht="22.5" customHeight="1">
      <c r="A29" s="763" t="s">
        <v>328</v>
      </c>
      <c r="B29" s="856"/>
      <c r="C29" s="850" t="s">
        <v>330</v>
      </c>
      <c r="D29" s="850"/>
      <c r="E29" s="851"/>
      <c r="F29" s="20"/>
      <c r="G29" s="20"/>
      <c r="H29" s="20"/>
    </row>
    <row r="30" spans="1:8" ht="22.5" customHeight="1">
      <c r="A30" s="853">
        <f>機械1_現地納入業者_名称</f>
        <v>0</v>
      </c>
      <c r="B30" s="706"/>
      <c r="C30" s="854">
        <f>機械1_見積価格</f>
        <v>0</v>
      </c>
      <c r="D30" s="854"/>
      <c r="E30" s="855"/>
      <c r="F30" s="20"/>
      <c r="G30" s="20"/>
      <c r="H30" s="20"/>
    </row>
    <row r="31" spans="1:8" ht="22.5" customHeight="1">
      <c r="A31" s="20"/>
      <c r="B31" s="20"/>
      <c r="C31" s="20"/>
      <c r="D31" s="20"/>
      <c r="E31" s="20"/>
      <c r="F31" s="20"/>
      <c r="G31" s="20"/>
      <c r="H31" s="20"/>
    </row>
    <row r="32" spans="1:8" ht="22.5" customHeight="1">
      <c r="A32" s="652" t="s">
        <v>852</v>
      </c>
      <c r="B32" s="652"/>
      <c r="C32" s="652"/>
      <c r="D32" s="652"/>
      <c r="E32" s="652"/>
      <c r="F32" s="652"/>
      <c r="G32" s="652"/>
      <c r="H32" s="652"/>
    </row>
    <row r="35" spans="1:8" ht="22.5" customHeight="1">
      <c r="A35" s="1" t="s">
        <v>853</v>
      </c>
      <c r="F35" s="841">
        <f>申請月日</f>
        <v>0</v>
      </c>
      <c r="G35" s="841"/>
      <c r="H35" s="764"/>
    </row>
    <row r="36" spans="3:6" ht="22.5" customHeight="1">
      <c r="C36" s="3"/>
      <c r="D36" s="3"/>
      <c r="E36" s="3"/>
      <c r="F36" s="16"/>
    </row>
    <row r="37" spans="1:6" ht="22.5" customHeight="1">
      <c r="A37" s="842" t="s">
        <v>303</v>
      </c>
      <c r="B37" s="842"/>
      <c r="C37" s="3"/>
      <c r="D37" s="3"/>
      <c r="F37" s="16"/>
    </row>
    <row r="38" spans="1:6" ht="22.5" customHeight="1">
      <c r="A38" s="14" t="s">
        <v>304</v>
      </c>
      <c r="B38" s="3" t="s">
        <v>312</v>
      </c>
      <c r="C38" s="1" t="s">
        <v>1130</v>
      </c>
      <c r="F38" s="10"/>
    </row>
    <row r="39" spans="5:8" ht="22.5" customHeight="1">
      <c r="E39" s="17" t="s">
        <v>313</v>
      </c>
      <c r="F39" s="670">
        <f>借受団体_団体名</f>
        <v>0</v>
      </c>
      <c r="G39" s="670"/>
      <c r="H39" s="1" t="s">
        <v>329</v>
      </c>
    </row>
    <row r="40" spans="5:8" ht="22.5" customHeight="1">
      <c r="E40" s="17" t="s">
        <v>314</v>
      </c>
      <c r="F40" s="652" t="str">
        <f>CONCATENATE(借受団体_代表者区分,"　",借受団体_代表者名)</f>
        <v>　</v>
      </c>
      <c r="G40" s="652"/>
      <c r="H40" s="3" t="s">
        <v>1134</v>
      </c>
    </row>
    <row r="42" spans="1:8" ht="22.5" customHeight="1">
      <c r="A42" s="848" t="s">
        <v>684</v>
      </c>
      <c r="B42" s="848"/>
      <c r="C42" s="848"/>
      <c r="D42" s="848"/>
      <c r="E42" s="848"/>
      <c r="F42" s="848"/>
      <c r="G42" s="848"/>
      <c r="H42" s="848"/>
    </row>
    <row r="43" spans="2:7" ht="22.5" customHeight="1">
      <c r="B43" s="14" t="s">
        <v>218</v>
      </c>
      <c r="C43" s="652" t="str">
        <f>事業名</f>
        <v>畜産排水対策緊急支援事業</v>
      </c>
      <c r="D43" s="652"/>
      <c r="E43" s="652"/>
      <c r="F43" s="652"/>
      <c r="G43" s="1" t="s">
        <v>688</v>
      </c>
    </row>
    <row r="44" spans="1:8" ht="22.5" customHeight="1">
      <c r="A44" s="749" t="s">
        <v>378</v>
      </c>
      <c r="B44" s="749"/>
      <c r="C44" s="749"/>
      <c r="D44" s="749"/>
      <c r="E44" s="749"/>
      <c r="F44" s="749"/>
      <c r="G44" s="749"/>
      <c r="H44" s="749"/>
    </row>
    <row r="45" spans="1:8" ht="22.5" customHeight="1">
      <c r="A45" s="749"/>
      <c r="B45" s="749"/>
      <c r="C45" s="749"/>
      <c r="D45" s="749"/>
      <c r="E45" s="749"/>
      <c r="F45" s="749"/>
      <c r="G45" s="749"/>
      <c r="H45" s="749"/>
    </row>
    <row r="46" spans="1:8" ht="22.5" customHeight="1">
      <c r="A46" s="670" t="s">
        <v>1135</v>
      </c>
      <c r="B46" s="670"/>
      <c r="C46" s="670"/>
      <c r="D46" s="670"/>
      <c r="E46" s="670"/>
      <c r="F46" s="670"/>
      <c r="G46" s="670"/>
      <c r="H46" s="670"/>
    </row>
    <row r="47" ht="22.5" customHeight="1">
      <c r="A47" s="1" t="s">
        <v>315</v>
      </c>
    </row>
    <row r="48" spans="1:8" ht="22.5" customHeight="1">
      <c r="A48" s="1" t="s">
        <v>316</v>
      </c>
      <c r="C48" s="673" t="str">
        <f>CONCATENATE(借受者名_漢字,"　",代表者名_漢字)</f>
        <v>　</v>
      </c>
      <c r="D48" s="673"/>
      <c r="E48" s="673"/>
      <c r="F48" s="673"/>
      <c r="G48" s="673"/>
      <c r="H48" s="673"/>
    </row>
    <row r="49" spans="1:8" ht="22.5" customHeight="1">
      <c r="A49" s="1" t="s">
        <v>317</v>
      </c>
      <c r="C49" s="673">
        <f>住所_住所</f>
        <v>0</v>
      </c>
      <c r="D49" s="673"/>
      <c r="E49" s="673"/>
      <c r="F49" s="673"/>
      <c r="G49" s="673"/>
      <c r="H49" s="673"/>
    </row>
    <row r="50" ht="22.5" customHeight="1">
      <c r="A50" s="1" t="s">
        <v>788</v>
      </c>
    </row>
    <row r="51" spans="3:8" ht="22.5" customHeight="1">
      <c r="C51" s="673" t="str">
        <f>CONCATENATE(機械2_機械名,"　",機械2_銘柄,"　",機械2_形式)</f>
        <v>　　</v>
      </c>
      <c r="D51" s="673"/>
      <c r="E51" s="673"/>
      <c r="F51" s="673"/>
      <c r="G51" s="673"/>
      <c r="H51" s="673"/>
    </row>
    <row r="52" spans="3:6" ht="22.5" customHeight="1">
      <c r="C52" s="849">
        <f>機械2_見積価格</f>
        <v>0</v>
      </c>
      <c r="D52" s="849"/>
      <c r="E52" s="849"/>
      <c r="F52" s="849"/>
    </row>
    <row r="53" spans="1:7" ht="22.5" customHeight="1">
      <c r="A53" s="1" t="s">
        <v>705</v>
      </c>
      <c r="C53" s="846">
        <f>T(機械2_現地納入業者_名称)</f>
      </c>
      <c r="D53" s="847"/>
      <c r="E53" s="847"/>
      <c r="F53" s="847"/>
      <c r="G53" s="847"/>
    </row>
    <row r="54" spans="1:6" ht="22.5" customHeight="1">
      <c r="A54" s="1" t="s">
        <v>686</v>
      </c>
      <c r="C54" s="64"/>
      <c r="D54" s="64"/>
      <c r="E54" s="64"/>
      <c r="F54" s="64"/>
    </row>
    <row r="55" spans="1:6" ht="22.5" customHeight="1">
      <c r="A55" s="845">
        <f>T(機械2_選定理由)</f>
      </c>
      <c r="B55" s="845"/>
      <c r="C55" s="845"/>
      <c r="D55" s="845"/>
      <c r="E55" s="845"/>
      <c r="F55" s="845"/>
    </row>
    <row r="56" spans="1:6" ht="22.5" customHeight="1">
      <c r="A56" s="845"/>
      <c r="B56" s="845"/>
      <c r="C56" s="845"/>
      <c r="D56" s="845"/>
      <c r="E56" s="845"/>
      <c r="F56" s="845"/>
    </row>
    <row r="57" spans="1:6" ht="22.5" customHeight="1">
      <c r="A57" s="845"/>
      <c r="B57" s="845"/>
      <c r="C57" s="845"/>
      <c r="D57" s="845"/>
      <c r="E57" s="845"/>
      <c r="F57" s="845"/>
    </row>
    <row r="58" spans="1:6" ht="22.5" customHeight="1">
      <c r="A58" s="845"/>
      <c r="B58" s="845"/>
      <c r="C58" s="845"/>
      <c r="D58" s="845"/>
      <c r="E58" s="845"/>
      <c r="F58" s="845"/>
    </row>
    <row r="59" spans="1:6" ht="22.5" customHeight="1">
      <c r="A59" s="180"/>
      <c r="B59" s="180"/>
      <c r="C59" s="180"/>
      <c r="D59" s="180"/>
      <c r="E59" s="180"/>
      <c r="F59" s="180"/>
    </row>
    <row r="60" ht="22.5" customHeight="1">
      <c r="A60" s="1" t="s">
        <v>687</v>
      </c>
    </row>
    <row r="61" ht="22.5" customHeight="1">
      <c r="A61" s="1" t="s">
        <v>759</v>
      </c>
    </row>
    <row r="62" spans="1:8" ht="22.5" customHeight="1">
      <c r="A62" s="20"/>
      <c r="B62" s="20"/>
      <c r="C62" s="20"/>
      <c r="D62" s="20"/>
      <c r="E62" s="20"/>
      <c r="F62" s="20"/>
      <c r="G62" s="20"/>
      <c r="H62" s="20"/>
    </row>
    <row r="63" spans="1:8" ht="22.5" customHeight="1">
      <c r="A63" s="763" t="s">
        <v>328</v>
      </c>
      <c r="B63" s="856"/>
      <c r="C63" s="850" t="s">
        <v>330</v>
      </c>
      <c r="D63" s="850"/>
      <c r="E63" s="851"/>
      <c r="F63" s="20"/>
      <c r="G63" s="20"/>
      <c r="H63" s="20"/>
    </row>
    <row r="64" spans="1:8" ht="22.5" customHeight="1">
      <c r="A64" s="853">
        <f>機械2_現地納入業者_名称</f>
        <v>0</v>
      </c>
      <c r="B64" s="706"/>
      <c r="C64" s="854">
        <f>機械2_見積価格</f>
        <v>0</v>
      </c>
      <c r="D64" s="854"/>
      <c r="E64" s="855"/>
      <c r="F64" s="20"/>
      <c r="G64" s="20"/>
      <c r="H64" s="20"/>
    </row>
    <row r="65" spans="1:8" ht="22.5" customHeight="1">
      <c r="A65" s="20"/>
      <c r="B65" s="20"/>
      <c r="C65" s="20"/>
      <c r="D65" s="20"/>
      <c r="E65" s="20"/>
      <c r="F65" s="20"/>
      <c r="G65" s="20"/>
      <c r="H65" s="20"/>
    </row>
    <row r="66" spans="1:8" ht="22.5" customHeight="1">
      <c r="A66" s="652" t="s">
        <v>852</v>
      </c>
      <c r="B66" s="652"/>
      <c r="C66" s="652"/>
      <c r="D66" s="652"/>
      <c r="E66" s="652"/>
      <c r="F66" s="652"/>
      <c r="G66" s="652"/>
      <c r="H66" s="652"/>
    </row>
    <row r="69" spans="1:8" ht="22.5" customHeight="1">
      <c r="A69" s="1" t="s">
        <v>853</v>
      </c>
      <c r="F69" s="841">
        <f>申請月日</f>
        <v>0</v>
      </c>
      <c r="G69" s="841"/>
      <c r="H69" s="764"/>
    </row>
    <row r="70" spans="3:6" ht="22.5" customHeight="1">
      <c r="C70" s="3"/>
      <c r="D70" s="3"/>
      <c r="E70" s="3"/>
      <c r="F70" s="16"/>
    </row>
    <row r="71" spans="1:6" ht="22.5" customHeight="1">
      <c r="A71" s="842" t="s">
        <v>303</v>
      </c>
      <c r="B71" s="842"/>
      <c r="C71" s="3"/>
      <c r="D71" s="3"/>
      <c r="F71" s="16"/>
    </row>
    <row r="72" spans="1:6" ht="22.5" customHeight="1">
      <c r="A72" s="14" t="s">
        <v>304</v>
      </c>
      <c r="B72" s="3" t="s">
        <v>312</v>
      </c>
      <c r="C72" s="1" t="s">
        <v>1130</v>
      </c>
      <c r="F72" s="10"/>
    </row>
    <row r="73" spans="5:8" ht="22.5" customHeight="1">
      <c r="E73" s="17" t="s">
        <v>313</v>
      </c>
      <c r="F73" s="670">
        <f>借受団体_団体名</f>
        <v>0</v>
      </c>
      <c r="G73" s="670"/>
      <c r="H73" s="1" t="s">
        <v>329</v>
      </c>
    </row>
    <row r="74" spans="5:8" ht="22.5" customHeight="1">
      <c r="E74" s="17" t="s">
        <v>314</v>
      </c>
      <c r="F74" s="652" t="str">
        <f>CONCATENATE(借受団体_代表者区分,"　",借受団体_代表者名)</f>
        <v>　</v>
      </c>
      <c r="G74" s="652"/>
      <c r="H74" s="3" t="s">
        <v>1134</v>
      </c>
    </row>
    <row r="76" spans="1:8" ht="22.5" customHeight="1">
      <c r="A76" s="848" t="s">
        <v>684</v>
      </c>
      <c r="B76" s="848"/>
      <c r="C76" s="848"/>
      <c r="D76" s="848"/>
      <c r="E76" s="848"/>
      <c r="F76" s="848"/>
      <c r="G76" s="848"/>
      <c r="H76" s="848"/>
    </row>
    <row r="77" spans="2:7" ht="22.5" customHeight="1">
      <c r="B77" s="14" t="s">
        <v>218</v>
      </c>
      <c r="C77" s="652" t="str">
        <f>事業名</f>
        <v>畜産排水対策緊急支援事業</v>
      </c>
      <c r="D77" s="652"/>
      <c r="E77" s="652"/>
      <c r="F77" s="652"/>
      <c r="G77" s="1" t="s">
        <v>688</v>
      </c>
    </row>
    <row r="78" spans="1:8" ht="22.5" customHeight="1">
      <c r="A78" s="749" t="s">
        <v>378</v>
      </c>
      <c r="B78" s="749"/>
      <c r="C78" s="749"/>
      <c r="D78" s="749"/>
      <c r="E78" s="749"/>
      <c r="F78" s="749"/>
      <c r="G78" s="749"/>
      <c r="H78" s="749"/>
    </row>
    <row r="79" spans="1:8" ht="22.5" customHeight="1">
      <c r="A79" s="749"/>
      <c r="B79" s="749"/>
      <c r="C79" s="749"/>
      <c r="D79" s="749"/>
      <c r="E79" s="749"/>
      <c r="F79" s="749"/>
      <c r="G79" s="749"/>
      <c r="H79" s="749"/>
    </row>
    <row r="80" spans="1:8" ht="22.5" customHeight="1">
      <c r="A80" s="670" t="s">
        <v>1135</v>
      </c>
      <c r="B80" s="670"/>
      <c r="C80" s="670"/>
      <c r="D80" s="670"/>
      <c r="E80" s="670"/>
      <c r="F80" s="670"/>
      <c r="G80" s="670"/>
      <c r="H80" s="670"/>
    </row>
    <row r="81" ht="22.5" customHeight="1">
      <c r="A81" s="1" t="s">
        <v>315</v>
      </c>
    </row>
    <row r="82" spans="1:8" ht="22.5" customHeight="1">
      <c r="A82" s="1" t="s">
        <v>316</v>
      </c>
      <c r="C82" s="673" t="str">
        <f>CONCATENATE(借受者名_漢字,"　",代表者名_漢字)</f>
        <v>　</v>
      </c>
      <c r="D82" s="673"/>
      <c r="E82" s="673"/>
      <c r="F82" s="673"/>
      <c r="G82" s="673"/>
      <c r="H82" s="673"/>
    </row>
    <row r="83" spans="1:8" ht="22.5" customHeight="1">
      <c r="A83" s="1" t="s">
        <v>317</v>
      </c>
      <c r="C83" s="673">
        <f>住所_住所</f>
        <v>0</v>
      </c>
      <c r="D83" s="673"/>
      <c r="E83" s="673"/>
      <c r="F83" s="673"/>
      <c r="G83" s="673"/>
      <c r="H83" s="673"/>
    </row>
    <row r="84" ht="22.5" customHeight="1">
      <c r="A84" s="1" t="s">
        <v>788</v>
      </c>
    </row>
    <row r="85" spans="3:8" ht="22.5" customHeight="1">
      <c r="C85" s="673" t="str">
        <f>CONCATENATE(機械3_機械名,"　",機械3_銘柄,"　",機械3_形式)</f>
        <v>　　</v>
      </c>
      <c r="D85" s="673"/>
      <c r="E85" s="673"/>
      <c r="F85" s="673"/>
      <c r="G85" s="673"/>
      <c r="H85" s="673"/>
    </row>
    <row r="86" spans="3:6" ht="22.5" customHeight="1">
      <c r="C86" s="849">
        <f>機械3_見積価格</f>
        <v>0</v>
      </c>
      <c r="D86" s="849"/>
      <c r="E86" s="849"/>
      <c r="F86" s="849"/>
    </row>
    <row r="87" spans="1:7" ht="22.5" customHeight="1">
      <c r="A87" s="1" t="s">
        <v>705</v>
      </c>
      <c r="C87" s="846">
        <f>T(機械3_現地納入業者_名称)</f>
      </c>
      <c r="D87" s="847"/>
      <c r="E87" s="847"/>
      <c r="F87" s="847"/>
      <c r="G87" s="847"/>
    </row>
    <row r="88" spans="1:6" ht="22.5" customHeight="1">
      <c r="A88" s="1" t="s">
        <v>686</v>
      </c>
      <c r="C88" s="64"/>
      <c r="D88" s="64"/>
      <c r="E88" s="64"/>
      <c r="F88" s="64"/>
    </row>
    <row r="89" spans="1:6" ht="22.5" customHeight="1">
      <c r="A89" s="845">
        <f>T(機械3_選定理由)</f>
      </c>
      <c r="B89" s="845"/>
      <c r="C89" s="845"/>
      <c r="D89" s="845"/>
      <c r="E89" s="845"/>
      <c r="F89" s="845"/>
    </row>
    <row r="90" spans="1:6" ht="22.5" customHeight="1">
      <c r="A90" s="845"/>
      <c r="B90" s="845"/>
      <c r="C90" s="845"/>
      <c r="D90" s="845"/>
      <c r="E90" s="845"/>
      <c r="F90" s="845"/>
    </row>
    <row r="91" spans="1:6" ht="22.5" customHeight="1">
      <c r="A91" s="845"/>
      <c r="B91" s="845"/>
      <c r="C91" s="845"/>
      <c r="D91" s="845"/>
      <c r="E91" s="845"/>
      <c r="F91" s="845"/>
    </row>
    <row r="92" spans="1:6" ht="22.5" customHeight="1">
      <c r="A92" s="845"/>
      <c r="B92" s="845"/>
      <c r="C92" s="845"/>
      <c r="D92" s="845"/>
      <c r="E92" s="845"/>
      <c r="F92" s="845"/>
    </row>
    <row r="93" spans="1:6" ht="22.5" customHeight="1">
      <c r="A93" s="180"/>
      <c r="B93" s="180"/>
      <c r="C93" s="180"/>
      <c r="D93" s="180"/>
      <c r="E93" s="180"/>
      <c r="F93" s="180"/>
    </row>
    <row r="94" ht="22.5" customHeight="1">
      <c r="A94" s="1" t="s">
        <v>687</v>
      </c>
    </row>
    <row r="95" ht="22.5" customHeight="1">
      <c r="A95" s="1" t="s">
        <v>759</v>
      </c>
    </row>
    <row r="96" spans="1:8" ht="22.5" customHeight="1">
      <c r="A96" s="20"/>
      <c r="B96" s="20"/>
      <c r="C96" s="20"/>
      <c r="D96" s="20"/>
      <c r="E96" s="20"/>
      <c r="F96" s="20"/>
      <c r="G96" s="20"/>
      <c r="H96" s="20"/>
    </row>
    <row r="97" spans="1:8" ht="22.5" customHeight="1">
      <c r="A97" s="763" t="s">
        <v>328</v>
      </c>
      <c r="B97" s="856"/>
      <c r="C97" s="850" t="s">
        <v>330</v>
      </c>
      <c r="D97" s="850"/>
      <c r="E97" s="851"/>
      <c r="F97" s="20"/>
      <c r="G97" s="20"/>
      <c r="H97" s="20"/>
    </row>
    <row r="98" spans="1:8" ht="22.5" customHeight="1">
      <c r="A98" s="853">
        <f>機械3_現地納入業者_名称</f>
        <v>0</v>
      </c>
      <c r="B98" s="706"/>
      <c r="C98" s="854">
        <f>機械3_見積価格</f>
        <v>0</v>
      </c>
      <c r="D98" s="854"/>
      <c r="E98" s="855"/>
      <c r="F98" s="20"/>
      <c r="G98" s="20"/>
      <c r="H98" s="20"/>
    </row>
    <row r="99" spans="1:8" ht="22.5" customHeight="1">
      <c r="A99" s="20"/>
      <c r="B99" s="20"/>
      <c r="C99" s="20"/>
      <c r="D99" s="20"/>
      <c r="E99" s="20"/>
      <c r="F99" s="20"/>
      <c r="G99" s="20"/>
      <c r="H99" s="20"/>
    </row>
    <row r="100" spans="1:8" ht="22.5" customHeight="1">
      <c r="A100" s="652" t="s">
        <v>852</v>
      </c>
      <c r="B100" s="652"/>
      <c r="C100" s="652"/>
      <c r="D100" s="652"/>
      <c r="E100" s="652"/>
      <c r="F100" s="652"/>
      <c r="G100" s="652"/>
      <c r="H100" s="652"/>
    </row>
    <row r="103" spans="1:8" ht="22.5" customHeight="1">
      <c r="A103" s="1" t="s">
        <v>853</v>
      </c>
      <c r="F103" s="841">
        <f>申請月日</f>
        <v>0</v>
      </c>
      <c r="G103" s="841"/>
      <c r="H103" s="764"/>
    </row>
    <row r="104" spans="3:6" ht="22.5" customHeight="1">
      <c r="C104" s="3"/>
      <c r="D104" s="3"/>
      <c r="E104" s="3"/>
      <c r="F104" s="16"/>
    </row>
    <row r="105" spans="1:6" ht="22.5" customHeight="1">
      <c r="A105" s="842" t="s">
        <v>303</v>
      </c>
      <c r="B105" s="842"/>
      <c r="C105" s="3"/>
      <c r="D105" s="3"/>
      <c r="F105" s="16"/>
    </row>
    <row r="106" spans="1:6" ht="22.5" customHeight="1">
      <c r="A106" s="14" t="s">
        <v>304</v>
      </c>
      <c r="B106" s="3" t="s">
        <v>312</v>
      </c>
      <c r="C106" s="1" t="s">
        <v>1130</v>
      </c>
      <c r="F106" s="10"/>
    </row>
    <row r="107" spans="5:8" ht="22.5" customHeight="1">
      <c r="E107" s="17" t="s">
        <v>313</v>
      </c>
      <c r="F107" s="670">
        <f>借受団体_団体名</f>
        <v>0</v>
      </c>
      <c r="G107" s="670"/>
      <c r="H107" s="1" t="s">
        <v>329</v>
      </c>
    </row>
    <row r="108" spans="5:8" ht="22.5" customHeight="1">
      <c r="E108" s="17" t="s">
        <v>314</v>
      </c>
      <c r="F108" s="652" t="str">
        <f>CONCATENATE(借受団体_代表者区分,"　",借受団体_代表者名)</f>
        <v>　</v>
      </c>
      <c r="G108" s="652"/>
      <c r="H108" s="3" t="s">
        <v>1134</v>
      </c>
    </row>
    <row r="110" spans="1:8" ht="22.5" customHeight="1">
      <c r="A110" s="848" t="s">
        <v>684</v>
      </c>
      <c r="B110" s="848"/>
      <c r="C110" s="848"/>
      <c r="D110" s="848"/>
      <c r="E110" s="848"/>
      <c r="F110" s="848"/>
      <c r="G110" s="848"/>
      <c r="H110" s="848"/>
    </row>
    <row r="111" spans="2:7" ht="22.5" customHeight="1">
      <c r="B111" s="14" t="s">
        <v>218</v>
      </c>
      <c r="C111" s="652" t="str">
        <f>事業名</f>
        <v>畜産排水対策緊急支援事業</v>
      </c>
      <c r="D111" s="652"/>
      <c r="E111" s="652"/>
      <c r="F111" s="652"/>
      <c r="G111" s="1" t="s">
        <v>688</v>
      </c>
    </row>
    <row r="112" spans="1:8" ht="22.5" customHeight="1">
      <c r="A112" s="749" t="s">
        <v>378</v>
      </c>
      <c r="B112" s="749"/>
      <c r="C112" s="749"/>
      <c r="D112" s="749"/>
      <c r="E112" s="749"/>
      <c r="F112" s="749"/>
      <c r="G112" s="749"/>
      <c r="H112" s="749"/>
    </row>
    <row r="113" spans="1:8" ht="22.5" customHeight="1">
      <c r="A113" s="749"/>
      <c r="B113" s="749"/>
      <c r="C113" s="749"/>
      <c r="D113" s="749"/>
      <c r="E113" s="749"/>
      <c r="F113" s="749"/>
      <c r="G113" s="749"/>
      <c r="H113" s="749"/>
    </row>
    <row r="114" spans="1:8" ht="22.5" customHeight="1">
      <c r="A114" s="670" t="s">
        <v>1135</v>
      </c>
      <c r="B114" s="670"/>
      <c r="C114" s="670"/>
      <c r="D114" s="670"/>
      <c r="E114" s="670"/>
      <c r="F114" s="670"/>
      <c r="G114" s="670"/>
      <c r="H114" s="670"/>
    </row>
    <row r="115" ht="22.5" customHeight="1">
      <c r="A115" s="1" t="s">
        <v>315</v>
      </c>
    </row>
    <row r="116" spans="1:8" ht="22.5" customHeight="1">
      <c r="A116" s="1" t="s">
        <v>316</v>
      </c>
      <c r="C116" s="673" t="str">
        <f>CONCATENATE(借受者名_漢字,"　",代表者名_漢字)</f>
        <v>　</v>
      </c>
      <c r="D116" s="673"/>
      <c r="E116" s="673"/>
      <c r="F116" s="673"/>
      <c r="G116" s="673"/>
      <c r="H116" s="673"/>
    </row>
    <row r="117" spans="1:8" ht="22.5" customHeight="1">
      <c r="A117" s="1" t="s">
        <v>317</v>
      </c>
      <c r="C117" s="673">
        <f>住所_住所</f>
        <v>0</v>
      </c>
      <c r="D117" s="673"/>
      <c r="E117" s="673"/>
      <c r="F117" s="673"/>
      <c r="G117" s="673"/>
      <c r="H117" s="673"/>
    </row>
    <row r="118" ht="22.5" customHeight="1">
      <c r="A118" s="1" t="s">
        <v>788</v>
      </c>
    </row>
    <row r="119" spans="3:8" ht="22.5" customHeight="1">
      <c r="C119" s="673" t="str">
        <f>CONCATENATE(機械4_機械名,"　",機械4_銘柄,"　",機械4_形式)</f>
        <v>　　</v>
      </c>
      <c r="D119" s="673"/>
      <c r="E119" s="673"/>
      <c r="F119" s="673"/>
      <c r="G119" s="673"/>
      <c r="H119" s="673"/>
    </row>
    <row r="120" spans="3:6" ht="22.5" customHeight="1">
      <c r="C120" s="849">
        <f>機械4_見積価格</f>
        <v>0</v>
      </c>
      <c r="D120" s="849"/>
      <c r="E120" s="849"/>
      <c r="F120" s="849"/>
    </row>
    <row r="121" spans="1:7" ht="22.5" customHeight="1">
      <c r="A121" s="1" t="s">
        <v>705</v>
      </c>
      <c r="C121" s="846">
        <f>T(機械4_現地納入業者_名称)</f>
      </c>
      <c r="D121" s="847"/>
      <c r="E121" s="847"/>
      <c r="F121" s="847"/>
      <c r="G121" s="847"/>
    </row>
    <row r="122" spans="1:6" ht="22.5" customHeight="1">
      <c r="A122" s="1" t="s">
        <v>686</v>
      </c>
      <c r="C122" s="64"/>
      <c r="D122" s="64"/>
      <c r="E122" s="64"/>
      <c r="F122" s="64"/>
    </row>
    <row r="123" spans="1:6" ht="22.5" customHeight="1">
      <c r="A123" s="845">
        <f>T(機械4_選定理由)</f>
      </c>
      <c r="B123" s="845"/>
      <c r="C123" s="845"/>
      <c r="D123" s="845"/>
      <c r="E123" s="845"/>
      <c r="F123" s="845"/>
    </row>
    <row r="124" spans="1:6" ht="22.5" customHeight="1">
      <c r="A124" s="845"/>
      <c r="B124" s="845"/>
      <c r="C124" s="845"/>
      <c r="D124" s="845"/>
      <c r="E124" s="845"/>
      <c r="F124" s="845"/>
    </row>
    <row r="125" spans="1:6" ht="22.5" customHeight="1">
      <c r="A125" s="845"/>
      <c r="B125" s="845"/>
      <c r="C125" s="845"/>
      <c r="D125" s="845"/>
      <c r="E125" s="845"/>
      <c r="F125" s="845"/>
    </row>
    <row r="126" spans="1:6" ht="22.5" customHeight="1">
      <c r="A126" s="845"/>
      <c r="B126" s="845"/>
      <c r="C126" s="845"/>
      <c r="D126" s="845"/>
      <c r="E126" s="845"/>
      <c r="F126" s="845"/>
    </row>
    <row r="127" spans="1:6" ht="22.5" customHeight="1">
      <c r="A127" s="180"/>
      <c r="B127" s="180"/>
      <c r="C127" s="180"/>
      <c r="D127" s="180"/>
      <c r="E127" s="180"/>
      <c r="F127" s="180"/>
    </row>
    <row r="128" ht="22.5" customHeight="1">
      <c r="A128" s="1" t="s">
        <v>687</v>
      </c>
    </row>
    <row r="129" ht="22.5" customHeight="1">
      <c r="A129" s="1" t="s">
        <v>759</v>
      </c>
    </row>
    <row r="130" spans="1:8" ht="22.5" customHeight="1">
      <c r="A130" s="20"/>
      <c r="B130" s="20"/>
      <c r="C130" s="20"/>
      <c r="D130" s="20"/>
      <c r="E130" s="20"/>
      <c r="F130" s="20"/>
      <c r="G130" s="20"/>
      <c r="H130" s="20"/>
    </row>
    <row r="131" spans="1:8" ht="22.5" customHeight="1">
      <c r="A131" s="763" t="s">
        <v>328</v>
      </c>
      <c r="B131" s="856"/>
      <c r="C131" s="850" t="s">
        <v>330</v>
      </c>
      <c r="D131" s="850"/>
      <c r="E131" s="851"/>
      <c r="F131" s="20"/>
      <c r="G131" s="20"/>
      <c r="H131" s="20"/>
    </row>
    <row r="132" spans="1:8" ht="22.5" customHeight="1">
      <c r="A132" s="853">
        <f>機械4_現地納入業者_名称</f>
        <v>0</v>
      </c>
      <c r="B132" s="706"/>
      <c r="C132" s="854">
        <f>機械4_見積価格</f>
        <v>0</v>
      </c>
      <c r="D132" s="854"/>
      <c r="E132" s="855"/>
      <c r="F132" s="20"/>
      <c r="G132" s="20"/>
      <c r="H132" s="20"/>
    </row>
    <row r="133" spans="1:8" ht="22.5" customHeight="1">
      <c r="A133" s="20"/>
      <c r="B133" s="20"/>
      <c r="C133" s="20"/>
      <c r="D133" s="20"/>
      <c r="E133" s="20"/>
      <c r="F133" s="20"/>
      <c r="G133" s="20"/>
      <c r="H133" s="20"/>
    </row>
    <row r="134" spans="1:8" ht="22.5" customHeight="1">
      <c r="A134" s="652" t="s">
        <v>852</v>
      </c>
      <c r="B134" s="652"/>
      <c r="C134" s="652"/>
      <c r="D134" s="652"/>
      <c r="E134" s="652"/>
      <c r="F134" s="652"/>
      <c r="G134" s="652"/>
      <c r="H134" s="652"/>
    </row>
  </sheetData>
  <sheetProtection password="C704" sheet="1" selectLockedCells="1" selectUnlockedCells="1"/>
  <mergeCells count="76">
    <mergeCell ref="C120:F120"/>
    <mergeCell ref="A123:F126"/>
    <mergeCell ref="C121:G121"/>
    <mergeCell ref="A134:H134"/>
    <mergeCell ref="A131:B131"/>
    <mergeCell ref="C131:E131"/>
    <mergeCell ref="A132:B132"/>
    <mergeCell ref="C132:E132"/>
    <mergeCell ref="C119:H119"/>
    <mergeCell ref="A100:H100"/>
    <mergeCell ref="F103:H103"/>
    <mergeCell ref="A105:B105"/>
    <mergeCell ref="F107:G107"/>
    <mergeCell ref="F108:G108"/>
    <mergeCell ref="A110:H110"/>
    <mergeCell ref="C111:F111"/>
    <mergeCell ref="A112:H113"/>
    <mergeCell ref="A114:H114"/>
    <mergeCell ref="A97:B97"/>
    <mergeCell ref="C97:E97"/>
    <mergeCell ref="C87:G87"/>
    <mergeCell ref="C117:H117"/>
    <mergeCell ref="C116:H116"/>
    <mergeCell ref="A98:B98"/>
    <mergeCell ref="C98:E98"/>
    <mergeCell ref="C77:F77"/>
    <mergeCell ref="A78:H79"/>
    <mergeCell ref="A80:H80"/>
    <mergeCell ref="C82:H82"/>
    <mergeCell ref="C83:H83"/>
    <mergeCell ref="C85:H85"/>
    <mergeCell ref="C86:F86"/>
    <mergeCell ref="A89:F92"/>
    <mergeCell ref="A66:H66"/>
    <mergeCell ref="F69:H69"/>
    <mergeCell ref="A71:B71"/>
    <mergeCell ref="F73:G73"/>
    <mergeCell ref="F74:G74"/>
    <mergeCell ref="A76:H76"/>
    <mergeCell ref="C48:H48"/>
    <mergeCell ref="C49:H49"/>
    <mergeCell ref="C51:H51"/>
    <mergeCell ref="A63:B63"/>
    <mergeCell ref="C63:E63"/>
    <mergeCell ref="A64:B64"/>
    <mergeCell ref="C64:E64"/>
    <mergeCell ref="C52:F52"/>
    <mergeCell ref="A55:F58"/>
    <mergeCell ref="C53:G53"/>
    <mergeCell ref="C43:F43"/>
    <mergeCell ref="A44:H45"/>
    <mergeCell ref="A46:H46"/>
    <mergeCell ref="A42:H42"/>
    <mergeCell ref="C15:H15"/>
    <mergeCell ref="C17:H17"/>
    <mergeCell ref="C18:F18"/>
    <mergeCell ref="A21:F24"/>
    <mergeCell ref="F39:G39"/>
    <mergeCell ref="A32:H32"/>
    <mergeCell ref="A29:B29"/>
    <mergeCell ref="C29:E29"/>
    <mergeCell ref="C19:G19"/>
    <mergeCell ref="A8:H8"/>
    <mergeCell ref="F1:H1"/>
    <mergeCell ref="A3:B3"/>
    <mergeCell ref="F5:G5"/>
    <mergeCell ref="F6:G6"/>
    <mergeCell ref="C9:F9"/>
    <mergeCell ref="F40:G40"/>
    <mergeCell ref="A10:H11"/>
    <mergeCell ref="A12:H12"/>
    <mergeCell ref="C14:H14"/>
    <mergeCell ref="F35:H35"/>
    <mergeCell ref="C30:E30"/>
    <mergeCell ref="A37:B37"/>
    <mergeCell ref="A30:B30"/>
  </mergeCells>
  <printOptions horizontalCentered="1"/>
  <pageMargins left="0.7086614173228347" right="0.5118110236220472" top="0.984251968503937" bottom="0.984251968503937" header="0.5118110236220472" footer="0.5118110236220472"/>
  <pageSetup horizontalDpi="600" verticalDpi="600" orientation="portrait" paperSize="9" scale="98" r:id="rId1"/>
  <rowBreaks count="3" manualBreakCount="3">
    <brk id="34" max="255" man="1"/>
    <brk id="68" max="255" man="1"/>
    <brk id="102" max="255" man="1"/>
  </rowBreaks>
</worksheet>
</file>

<file path=xl/worksheets/sheet12.xml><?xml version="1.0" encoding="utf-8"?>
<worksheet xmlns="http://schemas.openxmlformats.org/spreadsheetml/2006/main" xmlns:r="http://schemas.openxmlformats.org/officeDocument/2006/relationships">
  <sheetPr codeName="shtYoshiki71"/>
  <dimension ref="A1:H156"/>
  <sheetViews>
    <sheetView view="pageBreakPreview" zoomScaleSheetLayoutView="100" zoomScalePageLayoutView="0" workbookViewId="0" topLeftCell="A1">
      <selection activeCell="D19" sqref="D19"/>
    </sheetView>
  </sheetViews>
  <sheetFormatPr defaultColWidth="5.375" defaultRowHeight="20.25" customHeight="1"/>
  <cols>
    <col min="1" max="1" width="14.125" style="1" customWidth="1"/>
    <col min="2" max="2" width="18.625" style="1" customWidth="1"/>
    <col min="3" max="3" width="3.375" style="1" bestFit="1" customWidth="1"/>
    <col min="4" max="4" width="8.125" style="2" customWidth="1"/>
    <col min="5" max="5" width="11.00390625" style="2" bestFit="1" customWidth="1"/>
    <col min="6" max="6" width="17.00390625" style="2" customWidth="1"/>
    <col min="7" max="7" width="17.00390625" style="1" customWidth="1"/>
    <col min="8" max="16384" width="5.375" style="1" customWidth="1"/>
  </cols>
  <sheetData>
    <row r="1" spans="1:8" ht="20.25" customHeight="1">
      <c r="A1" s="1" t="s">
        <v>492</v>
      </c>
      <c r="F1" s="859"/>
      <c r="G1" s="859"/>
      <c r="H1" s="671"/>
    </row>
    <row r="2" spans="3:6" ht="20.25" customHeight="1">
      <c r="C2" s="3"/>
      <c r="D2" s="3"/>
      <c r="E2" s="3"/>
      <c r="F2" s="16"/>
    </row>
    <row r="3" spans="1:8" ht="20.25" customHeight="1">
      <c r="A3" s="861" t="s">
        <v>606</v>
      </c>
      <c r="B3" s="861"/>
      <c r="C3" s="861"/>
      <c r="D3" s="861"/>
      <c r="E3" s="861"/>
      <c r="F3" s="861"/>
      <c r="G3" s="861"/>
      <c r="H3" s="861"/>
    </row>
    <row r="4" spans="1:8" ht="20.25" customHeight="1">
      <c r="A4" s="18"/>
      <c r="B4" s="18"/>
      <c r="C4" s="18"/>
      <c r="D4" s="18"/>
      <c r="E4" s="18"/>
      <c r="F4" s="18"/>
      <c r="G4" s="18"/>
      <c r="H4" s="18"/>
    </row>
    <row r="5" spans="1:8" ht="20.25" customHeight="1">
      <c r="A5" s="14"/>
      <c r="B5" s="3"/>
      <c r="E5" s="2" t="s">
        <v>83</v>
      </c>
      <c r="F5" s="10"/>
      <c r="H5" s="1" t="s">
        <v>854</v>
      </c>
    </row>
    <row r="6" spans="5:8" ht="20.25" customHeight="1">
      <c r="E6" s="14" t="s">
        <v>1131</v>
      </c>
      <c r="F6" s="673">
        <f>住所_住所</f>
        <v>0</v>
      </c>
      <c r="G6" s="673"/>
      <c r="H6" s="673"/>
    </row>
    <row r="7" spans="5:8" ht="20.25" customHeight="1">
      <c r="E7" s="14" t="s">
        <v>1132</v>
      </c>
      <c r="F7" s="652" t="str">
        <f>CONCATENATE(借受者名_漢字,"　",代表者名_漢字)</f>
        <v>　</v>
      </c>
      <c r="G7" s="652"/>
      <c r="H7" s="3" t="s">
        <v>1134</v>
      </c>
    </row>
    <row r="8" spans="5:8" ht="20.25" customHeight="1">
      <c r="E8" s="14" t="s">
        <v>319</v>
      </c>
      <c r="F8" s="670">
        <f>T(借受団体_担当者名)</f>
      </c>
      <c r="G8" s="670"/>
      <c r="H8" s="3" t="s">
        <v>1134</v>
      </c>
    </row>
    <row r="9" spans="1:8" ht="20.25" customHeight="1">
      <c r="A9" s="3"/>
      <c r="B9" s="3"/>
      <c r="C9" s="3"/>
      <c r="D9" s="3"/>
      <c r="E9" s="670" t="s">
        <v>320</v>
      </c>
      <c r="F9" s="670"/>
      <c r="G9" s="670"/>
      <c r="H9" s="670"/>
    </row>
    <row r="11" spans="1:8" ht="20.25" customHeight="1">
      <c r="A11" s="749" t="s">
        <v>607</v>
      </c>
      <c r="B11" s="749"/>
      <c r="C11" s="749"/>
      <c r="D11" s="749"/>
      <c r="E11" s="749"/>
      <c r="F11" s="749"/>
      <c r="G11" s="749"/>
      <c r="H11" s="749"/>
    </row>
    <row r="12" spans="1:8" ht="20.25" customHeight="1">
      <c r="A12" s="749"/>
      <c r="B12" s="749"/>
      <c r="C12" s="749"/>
      <c r="D12" s="749"/>
      <c r="E12" s="749"/>
      <c r="F12" s="749"/>
      <c r="G12" s="749"/>
      <c r="H12" s="749"/>
    </row>
    <row r="13" spans="1:8" ht="20.25" customHeight="1">
      <c r="A13" s="670" t="s">
        <v>1135</v>
      </c>
      <c r="B13" s="670"/>
      <c r="C13" s="670"/>
      <c r="D13" s="670"/>
      <c r="E13" s="670"/>
      <c r="F13" s="670"/>
      <c r="G13" s="670"/>
      <c r="H13" s="670"/>
    </row>
    <row r="14" spans="1:8" ht="20.25" customHeight="1">
      <c r="A14" s="1" t="s">
        <v>321</v>
      </c>
      <c r="C14" s="2"/>
      <c r="G14" s="2"/>
      <c r="H14" s="2"/>
    </row>
    <row r="15" spans="1:8" ht="20.25" customHeight="1">
      <c r="A15" s="1" t="s">
        <v>322</v>
      </c>
      <c r="C15" s="671">
        <f>T(借受団体_団体名)</f>
      </c>
      <c r="D15" s="671"/>
      <c r="E15" s="671"/>
      <c r="F15" s="671"/>
      <c r="G15" s="2"/>
      <c r="H15" s="2"/>
    </row>
    <row r="16" spans="1:8" ht="20.25" customHeight="1">
      <c r="A16" s="1" t="s">
        <v>323</v>
      </c>
      <c r="C16" s="860">
        <f>機械1_見積合わせ実施年月日</f>
        <v>0</v>
      </c>
      <c r="D16" s="860"/>
      <c r="E16" s="860"/>
      <c r="G16" s="2"/>
      <c r="H16" s="2"/>
    </row>
    <row r="17" spans="1:8" ht="20.25" customHeight="1">
      <c r="A17" s="1" t="s">
        <v>324</v>
      </c>
      <c r="C17" s="673" t="str">
        <f>CONCATENATE(機械1_機械名,"　",機械1_銘柄,"　",機械1_形式)</f>
        <v>　　</v>
      </c>
      <c r="D17" s="673"/>
      <c r="E17" s="673"/>
      <c r="F17" s="673"/>
      <c r="G17" s="673"/>
      <c r="H17" s="673"/>
    </row>
    <row r="19" ht="20.25" customHeight="1">
      <c r="A19" s="1" t="s">
        <v>790</v>
      </c>
    </row>
    <row r="20" spans="1:8" ht="20.25" customHeight="1">
      <c r="A20" s="845">
        <f>IF(機械1_見積合わせの選定基準="","",機械1_見積合わせの選定基準)</f>
      </c>
      <c r="B20" s="845"/>
      <c r="C20" s="845"/>
      <c r="D20" s="845"/>
      <c r="E20" s="845"/>
      <c r="F20" s="845"/>
      <c r="G20" s="845"/>
      <c r="H20" s="845"/>
    </row>
    <row r="21" spans="1:8" ht="20.25" customHeight="1">
      <c r="A21" s="845"/>
      <c r="B21" s="845"/>
      <c r="C21" s="845"/>
      <c r="D21" s="845"/>
      <c r="E21" s="845"/>
      <c r="F21" s="845"/>
      <c r="G21" s="845"/>
      <c r="H21" s="845"/>
    </row>
    <row r="23" ht="20.25" customHeight="1">
      <c r="A23" s="1" t="s">
        <v>325</v>
      </c>
    </row>
    <row r="24" spans="1:8" ht="20.25" customHeight="1">
      <c r="A24" s="2"/>
      <c r="B24" s="2"/>
      <c r="C24" s="2"/>
      <c r="G24" s="2"/>
      <c r="H24" s="2"/>
    </row>
    <row r="25" spans="1:8" ht="20.25" customHeight="1">
      <c r="A25" s="763" t="s">
        <v>328</v>
      </c>
      <c r="B25" s="856"/>
      <c r="C25" s="850" t="s">
        <v>330</v>
      </c>
      <c r="D25" s="850"/>
      <c r="E25" s="851"/>
      <c r="G25" s="2"/>
      <c r="H25" s="2"/>
    </row>
    <row r="26" spans="1:8" ht="20.25" customHeight="1">
      <c r="A26" s="857">
        <f>T(機械1_現地納入業者_名称)</f>
      </c>
      <c r="B26" s="650"/>
      <c r="C26" s="843">
        <f>機械1_見積価格</f>
        <v>0</v>
      </c>
      <c r="D26" s="843"/>
      <c r="E26" s="844"/>
      <c r="G26" s="2"/>
      <c r="H26" s="2"/>
    </row>
    <row r="27" spans="1:8" ht="20.25" customHeight="1">
      <c r="A27" s="852">
        <f>IF(機械1_参加業者名2_参加業者名="","",機械1_参加業者名2_参加業者名)</f>
      </c>
      <c r="B27" s="757"/>
      <c r="C27" s="843">
        <f>IF(機械1_参加業者名2_見積価格="","",機械1_参加業者名2_見積価格)</f>
        <v>0</v>
      </c>
      <c r="D27" s="843"/>
      <c r="E27" s="844"/>
      <c r="G27" s="2"/>
      <c r="H27" s="2"/>
    </row>
    <row r="28" spans="1:8" ht="20.25" customHeight="1">
      <c r="A28" s="853">
        <f>IF(機械1_参加業者名3_参加業者名="","",機械1_参加業者名3_参加業者名)</f>
      </c>
      <c r="B28" s="706"/>
      <c r="C28" s="854">
        <f>IF(機械1_参加業者名3_見積価格="","",機械1_参加業者名3_見積価格)</f>
        <v>0</v>
      </c>
      <c r="D28" s="854"/>
      <c r="E28" s="855"/>
      <c r="G28" s="2"/>
      <c r="H28" s="2"/>
    </row>
    <row r="29" spans="1:8" ht="20.25" customHeight="1">
      <c r="A29" s="2"/>
      <c r="B29" s="2"/>
      <c r="C29" s="2"/>
      <c r="G29" s="2"/>
      <c r="H29" s="2"/>
    </row>
    <row r="30" spans="1:8" ht="20.25" customHeight="1">
      <c r="A30" s="845"/>
      <c r="B30" s="845"/>
      <c r="C30" s="845"/>
      <c r="D30" s="845"/>
      <c r="E30" s="845"/>
      <c r="F30" s="845"/>
      <c r="G30" s="845"/>
      <c r="H30" s="845"/>
    </row>
    <row r="31" spans="1:8" ht="20.25" customHeight="1">
      <c r="A31" s="845"/>
      <c r="B31" s="845"/>
      <c r="C31" s="845"/>
      <c r="D31" s="845"/>
      <c r="E31" s="845"/>
      <c r="F31" s="845"/>
      <c r="G31" s="845"/>
      <c r="H31" s="845"/>
    </row>
    <row r="32" spans="1:8" ht="20.25" customHeight="1">
      <c r="A32" s="845"/>
      <c r="B32" s="845"/>
      <c r="C32" s="845"/>
      <c r="D32" s="845"/>
      <c r="E32" s="845"/>
      <c r="F32" s="845"/>
      <c r="G32" s="845"/>
      <c r="H32" s="845"/>
    </row>
    <row r="33" spans="1:8" ht="20.25" customHeight="1">
      <c r="A33" s="845"/>
      <c r="B33" s="845"/>
      <c r="C33" s="845"/>
      <c r="D33" s="845"/>
      <c r="E33" s="845"/>
      <c r="F33" s="845"/>
      <c r="G33" s="845"/>
      <c r="H33" s="845"/>
    </row>
    <row r="34" spans="1:8" ht="20.25" customHeight="1">
      <c r="A34" s="845"/>
      <c r="B34" s="845"/>
      <c r="C34" s="845"/>
      <c r="D34" s="845"/>
      <c r="E34" s="845"/>
      <c r="F34" s="845"/>
      <c r="G34" s="845"/>
      <c r="H34" s="845"/>
    </row>
    <row r="35" spans="1:8" ht="20.25" customHeight="1">
      <c r="A35" s="845"/>
      <c r="B35" s="845"/>
      <c r="C35" s="845"/>
      <c r="D35" s="845"/>
      <c r="E35" s="845"/>
      <c r="F35" s="845"/>
      <c r="G35" s="845"/>
      <c r="H35" s="845"/>
    </row>
    <row r="36" spans="1:8" ht="20.25" customHeight="1">
      <c r="A36" s="845"/>
      <c r="B36" s="845"/>
      <c r="C36" s="845"/>
      <c r="D36" s="845"/>
      <c r="E36" s="845"/>
      <c r="F36" s="845"/>
      <c r="G36" s="845"/>
      <c r="H36" s="845"/>
    </row>
    <row r="37" spans="1:8" ht="20.25" customHeight="1">
      <c r="A37" s="845"/>
      <c r="B37" s="845"/>
      <c r="C37" s="845"/>
      <c r="D37" s="845"/>
      <c r="E37" s="845"/>
      <c r="F37" s="845"/>
      <c r="G37" s="845"/>
      <c r="H37" s="845"/>
    </row>
    <row r="39" ht="20.25" customHeight="1">
      <c r="A39" s="1" t="s">
        <v>326</v>
      </c>
    </row>
    <row r="40" spans="1:8" ht="20.25" customHeight="1">
      <c r="A40" s="1" t="s">
        <v>492</v>
      </c>
      <c r="F40" s="859"/>
      <c r="G40" s="859"/>
      <c r="H40" s="671"/>
    </row>
    <row r="41" spans="3:6" ht="20.25" customHeight="1">
      <c r="C41" s="3"/>
      <c r="D41" s="3"/>
      <c r="E41" s="3"/>
      <c r="F41" s="16"/>
    </row>
    <row r="42" spans="1:8" ht="20.25" customHeight="1">
      <c r="A42" s="861" t="s">
        <v>606</v>
      </c>
      <c r="B42" s="861"/>
      <c r="C42" s="861"/>
      <c r="D42" s="861"/>
      <c r="E42" s="861"/>
      <c r="F42" s="861"/>
      <c r="G42" s="861"/>
      <c r="H42" s="861"/>
    </row>
    <row r="43" spans="1:8" ht="20.25" customHeight="1">
      <c r="A43" s="18"/>
      <c r="B43" s="18"/>
      <c r="C43" s="18"/>
      <c r="D43" s="18"/>
      <c r="E43" s="18"/>
      <c r="F43" s="18"/>
      <c r="G43" s="18"/>
      <c r="H43" s="18"/>
    </row>
    <row r="44" spans="1:8" ht="20.25" customHeight="1">
      <c r="A44" s="14"/>
      <c r="B44" s="3"/>
      <c r="E44" s="2" t="s">
        <v>83</v>
      </c>
      <c r="F44" s="10"/>
      <c r="H44" s="1" t="s">
        <v>854</v>
      </c>
    </row>
    <row r="45" spans="5:8" ht="20.25" customHeight="1">
      <c r="E45" s="14" t="s">
        <v>1131</v>
      </c>
      <c r="F45" s="673">
        <f>T(住所_住所)</f>
      </c>
      <c r="G45" s="673"/>
      <c r="H45" s="673"/>
    </row>
    <row r="46" spans="5:8" ht="20.25" customHeight="1">
      <c r="E46" s="14" t="s">
        <v>1132</v>
      </c>
      <c r="F46" s="652" t="str">
        <f>CONCATENATE(借受者名_漢字,"　",代表者名_漢字)</f>
        <v>　</v>
      </c>
      <c r="G46" s="652"/>
      <c r="H46" s="3" t="s">
        <v>1134</v>
      </c>
    </row>
    <row r="47" spans="5:8" ht="20.25" customHeight="1">
      <c r="E47" s="14" t="s">
        <v>319</v>
      </c>
      <c r="F47" s="670">
        <f>T(借受団体_担当者名)</f>
      </c>
      <c r="G47" s="670"/>
      <c r="H47" s="3" t="s">
        <v>1134</v>
      </c>
    </row>
    <row r="48" spans="1:8" ht="20.25" customHeight="1">
      <c r="A48" s="3"/>
      <c r="B48" s="3"/>
      <c r="C48" s="3"/>
      <c r="D48" s="3"/>
      <c r="E48" s="670" t="s">
        <v>320</v>
      </c>
      <c r="F48" s="670"/>
      <c r="G48" s="670"/>
      <c r="H48" s="670"/>
    </row>
    <row r="50" spans="1:8" ht="20.25" customHeight="1">
      <c r="A50" s="749" t="s">
        <v>607</v>
      </c>
      <c r="B50" s="749"/>
      <c r="C50" s="749"/>
      <c r="D50" s="749"/>
      <c r="E50" s="749"/>
      <c r="F50" s="749"/>
      <c r="G50" s="749"/>
      <c r="H50" s="749"/>
    </row>
    <row r="51" spans="1:8" ht="20.25" customHeight="1">
      <c r="A51" s="749"/>
      <c r="B51" s="749"/>
      <c r="C51" s="749"/>
      <c r="D51" s="749"/>
      <c r="E51" s="749"/>
      <c r="F51" s="749"/>
      <c r="G51" s="749"/>
      <c r="H51" s="749"/>
    </row>
    <row r="52" spans="1:8" ht="20.25" customHeight="1">
      <c r="A52" s="670" t="s">
        <v>1135</v>
      </c>
      <c r="B52" s="670"/>
      <c r="C52" s="670"/>
      <c r="D52" s="670"/>
      <c r="E52" s="670"/>
      <c r="F52" s="670"/>
      <c r="G52" s="670"/>
      <c r="H52" s="670"/>
    </row>
    <row r="53" spans="1:8" ht="20.25" customHeight="1">
      <c r="A53" s="1" t="s">
        <v>321</v>
      </c>
      <c r="C53" s="2"/>
      <c r="G53" s="2"/>
      <c r="H53" s="2"/>
    </row>
    <row r="54" spans="1:8" ht="20.25" customHeight="1">
      <c r="A54" s="1" t="s">
        <v>322</v>
      </c>
      <c r="C54" s="671">
        <f>T(借受団体_団体名)</f>
      </c>
      <c r="D54" s="671"/>
      <c r="E54" s="671"/>
      <c r="F54" s="671"/>
      <c r="G54" s="2"/>
      <c r="H54" s="2"/>
    </row>
    <row r="55" spans="1:8" ht="20.25" customHeight="1">
      <c r="A55" s="1" t="s">
        <v>323</v>
      </c>
      <c r="C55" s="860">
        <f>機械2_見積合わせ実施年月日</f>
        <v>0</v>
      </c>
      <c r="D55" s="860"/>
      <c r="E55" s="860"/>
      <c r="G55" s="2"/>
      <c r="H55" s="2"/>
    </row>
    <row r="56" spans="1:8" ht="20.25" customHeight="1">
      <c r="A56" s="1" t="s">
        <v>324</v>
      </c>
      <c r="C56" s="673" t="str">
        <f>CONCATENATE(機械2_機械名,"　",機械2_銘柄,"　",機械2_形式)</f>
        <v>　　</v>
      </c>
      <c r="D56" s="673"/>
      <c r="E56" s="673"/>
      <c r="F56" s="673"/>
      <c r="G56" s="673"/>
      <c r="H56" s="673"/>
    </row>
    <row r="58" ht="20.25" customHeight="1">
      <c r="A58" s="1" t="s">
        <v>790</v>
      </c>
    </row>
    <row r="59" spans="1:8" ht="20.25" customHeight="1">
      <c r="A59" s="845">
        <f>IF(機械2_見積合わせの選定基準="","",機械2_見積合わせの選定基準)</f>
      </c>
      <c r="B59" s="845"/>
      <c r="C59" s="845"/>
      <c r="D59" s="845"/>
      <c r="E59" s="845"/>
      <c r="F59" s="845"/>
      <c r="G59" s="845"/>
      <c r="H59" s="845"/>
    </row>
    <row r="60" spans="1:8" ht="20.25" customHeight="1">
      <c r="A60" s="845"/>
      <c r="B60" s="845"/>
      <c r="C60" s="845"/>
      <c r="D60" s="845"/>
      <c r="E60" s="845"/>
      <c r="F60" s="845"/>
      <c r="G60" s="845"/>
      <c r="H60" s="845"/>
    </row>
    <row r="62" ht="20.25" customHeight="1">
      <c r="A62" s="1" t="s">
        <v>325</v>
      </c>
    </row>
    <row r="63" spans="1:8" ht="20.25" customHeight="1">
      <c r="A63" s="2"/>
      <c r="B63" s="2"/>
      <c r="C63" s="2"/>
      <c r="G63" s="2"/>
      <c r="H63" s="2"/>
    </row>
    <row r="64" spans="1:8" ht="20.25" customHeight="1">
      <c r="A64" s="763" t="s">
        <v>328</v>
      </c>
      <c r="B64" s="856"/>
      <c r="C64" s="850" t="s">
        <v>330</v>
      </c>
      <c r="D64" s="850"/>
      <c r="E64" s="851"/>
      <c r="G64" s="2"/>
      <c r="H64" s="2"/>
    </row>
    <row r="65" spans="1:8" ht="20.25" customHeight="1">
      <c r="A65" s="857">
        <f>T(機械2_現地納入業者_名称)</f>
      </c>
      <c r="B65" s="650"/>
      <c r="C65" s="843">
        <f>機械2_見積価格</f>
        <v>0</v>
      </c>
      <c r="D65" s="843"/>
      <c r="E65" s="844"/>
      <c r="G65" s="2"/>
      <c r="H65" s="2"/>
    </row>
    <row r="66" spans="1:8" ht="20.25" customHeight="1">
      <c r="A66" s="852">
        <f>IF(機械2_参加業者名2_参加業者名="","",機械2_参加業者名2_参加業者名)</f>
      </c>
      <c r="B66" s="757"/>
      <c r="C66" s="843">
        <f>IF(機械2_参加業者名2_見積価格="","",機械2_参加業者名2_見積価格)</f>
        <v>0</v>
      </c>
      <c r="D66" s="843"/>
      <c r="E66" s="844"/>
      <c r="G66" s="2"/>
      <c r="H66" s="2"/>
    </row>
    <row r="67" spans="1:8" ht="20.25" customHeight="1">
      <c r="A67" s="853">
        <f>IF(機械2_参加業者名3_参加業者名="","",機械2_参加業者名3_参加業者名)</f>
      </c>
      <c r="B67" s="706"/>
      <c r="C67" s="854">
        <f>IF(機械2_参加業者名3_見積価格="","",機械2_参加業者名3_見積価格)</f>
        <v>0</v>
      </c>
      <c r="D67" s="854"/>
      <c r="E67" s="855"/>
      <c r="G67" s="2"/>
      <c r="H67" s="2"/>
    </row>
    <row r="68" spans="1:8" ht="20.25" customHeight="1">
      <c r="A68" s="2"/>
      <c r="B68" s="2"/>
      <c r="C68" s="2"/>
      <c r="G68" s="2"/>
      <c r="H68" s="2"/>
    </row>
    <row r="69" spans="1:8" ht="20.25" customHeight="1">
      <c r="A69" s="845"/>
      <c r="B69" s="845"/>
      <c r="C69" s="845"/>
      <c r="D69" s="845"/>
      <c r="E69" s="845"/>
      <c r="F69" s="845"/>
      <c r="G69" s="845"/>
      <c r="H69" s="845"/>
    </row>
    <row r="70" spans="1:8" ht="20.25" customHeight="1">
      <c r="A70" s="845"/>
      <c r="B70" s="845"/>
      <c r="C70" s="845"/>
      <c r="D70" s="845"/>
      <c r="E70" s="845"/>
      <c r="F70" s="845"/>
      <c r="G70" s="845"/>
      <c r="H70" s="845"/>
    </row>
    <row r="71" spans="1:8" ht="20.25" customHeight="1">
      <c r="A71" s="845"/>
      <c r="B71" s="845"/>
      <c r="C71" s="845"/>
      <c r="D71" s="845"/>
      <c r="E71" s="845"/>
      <c r="F71" s="845"/>
      <c r="G71" s="845"/>
      <c r="H71" s="845"/>
    </row>
    <row r="72" spans="1:8" ht="20.25" customHeight="1">
      <c r="A72" s="845"/>
      <c r="B72" s="845"/>
      <c r="C72" s="845"/>
      <c r="D72" s="845"/>
      <c r="E72" s="845"/>
      <c r="F72" s="845"/>
      <c r="G72" s="845"/>
      <c r="H72" s="845"/>
    </row>
    <row r="73" spans="1:8" ht="20.25" customHeight="1">
      <c r="A73" s="845"/>
      <c r="B73" s="845"/>
      <c r="C73" s="845"/>
      <c r="D73" s="845"/>
      <c r="E73" s="845"/>
      <c r="F73" s="845"/>
      <c r="G73" s="845"/>
      <c r="H73" s="845"/>
    </row>
    <row r="74" spans="1:8" ht="20.25" customHeight="1">
      <c r="A74" s="845"/>
      <c r="B74" s="845"/>
      <c r="C74" s="845"/>
      <c r="D74" s="845"/>
      <c r="E74" s="845"/>
      <c r="F74" s="845"/>
      <c r="G74" s="845"/>
      <c r="H74" s="845"/>
    </row>
    <row r="75" spans="1:8" ht="20.25" customHeight="1">
      <c r="A75" s="845"/>
      <c r="B75" s="845"/>
      <c r="C75" s="845"/>
      <c r="D75" s="845"/>
      <c r="E75" s="845"/>
      <c r="F75" s="845"/>
      <c r="G75" s="845"/>
      <c r="H75" s="845"/>
    </row>
    <row r="76" spans="1:8" ht="20.25" customHeight="1">
      <c r="A76" s="845"/>
      <c r="B76" s="845"/>
      <c r="C76" s="845"/>
      <c r="D76" s="845"/>
      <c r="E76" s="845"/>
      <c r="F76" s="845"/>
      <c r="G76" s="845"/>
      <c r="H76" s="845"/>
    </row>
    <row r="78" ht="20.25" customHeight="1">
      <c r="A78" s="1" t="s">
        <v>326</v>
      </c>
    </row>
    <row r="79" spans="1:8" ht="20.25" customHeight="1">
      <c r="A79" s="1" t="s">
        <v>492</v>
      </c>
      <c r="F79" s="859"/>
      <c r="G79" s="859"/>
      <c r="H79" s="671"/>
    </row>
    <row r="80" spans="3:6" ht="20.25" customHeight="1">
      <c r="C80" s="3"/>
      <c r="D80" s="3"/>
      <c r="E80" s="3"/>
      <c r="F80" s="16"/>
    </row>
    <row r="81" spans="1:8" ht="20.25" customHeight="1">
      <c r="A81" s="861" t="s">
        <v>606</v>
      </c>
      <c r="B81" s="861"/>
      <c r="C81" s="861"/>
      <c r="D81" s="861"/>
      <c r="E81" s="861"/>
      <c r="F81" s="861"/>
      <c r="G81" s="861"/>
      <c r="H81" s="861"/>
    </row>
    <row r="82" spans="1:8" ht="20.25" customHeight="1">
      <c r="A82" s="18"/>
      <c r="B82" s="18"/>
      <c r="C82" s="18"/>
      <c r="D82" s="18"/>
      <c r="E82" s="18"/>
      <c r="F82" s="18"/>
      <c r="G82" s="18"/>
      <c r="H82" s="18"/>
    </row>
    <row r="83" spans="1:8" ht="20.25" customHeight="1">
      <c r="A83" s="14"/>
      <c r="B83" s="3"/>
      <c r="E83" s="2" t="s">
        <v>83</v>
      </c>
      <c r="F83" s="10"/>
      <c r="H83" s="1" t="s">
        <v>854</v>
      </c>
    </row>
    <row r="84" spans="5:8" ht="20.25" customHeight="1">
      <c r="E84" s="14" t="s">
        <v>1131</v>
      </c>
      <c r="F84" s="673">
        <f>T(住所_住所)</f>
      </c>
      <c r="G84" s="673"/>
      <c r="H84" s="673"/>
    </row>
    <row r="85" spans="5:8" ht="20.25" customHeight="1">
      <c r="E85" s="14" t="s">
        <v>1132</v>
      </c>
      <c r="F85" s="652" t="str">
        <f>CONCATENATE(借受者名_漢字,"　",代表者名_漢字)</f>
        <v>　</v>
      </c>
      <c r="G85" s="652"/>
      <c r="H85" s="3" t="s">
        <v>1134</v>
      </c>
    </row>
    <row r="86" spans="5:8" ht="20.25" customHeight="1">
      <c r="E86" s="14" t="s">
        <v>319</v>
      </c>
      <c r="F86" s="670">
        <f>T(借受団体_担当者名)</f>
      </c>
      <c r="G86" s="670"/>
      <c r="H86" s="3" t="s">
        <v>1134</v>
      </c>
    </row>
    <row r="87" spans="1:8" ht="20.25" customHeight="1">
      <c r="A87" s="3"/>
      <c r="B87" s="3"/>
      <c r="C87" s="3"/>
      <c r="D87" s="3"/>
      <c r="E87" s="670" t="s">
        <v>320</v>
      </c>
      <c r="F87" s="670"/>
      <c r="G87" s="670"/>
      <c r="H87" s="670"/>
    </row>
    <row r="89" spans="1:8" ht="20.25" customHeight="1">
      <c r="A89" s="749" t="s">
        <v>607</v>
      </c>
      <c r="B89" s="749"/>
      <c r="C89" s="749"/>
      <c r="D89" s="749"/>
      <c r="E89" s="749"/>
      <c r="F89" s="749"/>
      <c r="G89" s="749"/>
      <c r="H89" s="749"/>
    </row>
    <row r="90" spans="1:8" ht="20.25" customHeight="1">
      <c r="A90" s="749"/>
      <c r="B90" s="749"/>
      <c r="C90" s="749"/>
      <c r="D90" s="749"/>
      <c r="E90" s="749"/>
      <c r="F90" s="749"/>
      <c r="G90" s="749"/>
      <c r="H90" s="749"/>
    </row>
    <row r="91" spans="1:8" ht="20.25" customHeight="1">
      <c r="A91" s="670" t="s">
        <v>1135</v>
      </c>
      <c r="B91" s="670"/>
      <c r="C91" s="670"/>
      <c r="D91" s="670"/>
      <c r="E91" s="670"/>
      <c r="F91" s="670"/>
      <c r="G91" s="670"/>
      <c r="H91" s="670"/>
    </row>
    <row r="92" spans="1:8" ht="20.25" customHeight="1">
      <c r="A92" s="1" t="s">
        <v>321</v>
      </c>
      <c r="C92" s="2"/>
      <c r="G92" s="2"/>
      <c r="H92" s="2"/>
    </row>
    <row r="93" spans="1:8" ht="20.25" customHeight="1">
      <c r="A93" s="1" t="s">
        <v>322</v>
      </c>
      <c r="C93" s="671">
        <f>T(借受団体_団体名)</f>
      </c>
      <c r="D93" s="671"/>
      <c r="E93" s="671"/>
      <c r="F93" s="671"/>
      <c r="G93" s="2"/>
      <c r="H93" s="2"/>
    </row>
    <row r="94" spans="1:8" ht="20.25" customHeight="1">
      <c r="A94" s="1" t="s">
        <v>323</v>
      </c>
      <c r="C94" s="860">
        <f>機械3_見積合わせ実施年月日</f>
        <v>0</v>
      </c>
      <c r="D94" s="860"/>
      <c r="E94" s="860"/>
      <c r="G94" s="2"/>
      <c r="H94" s="2"/>
    </row>
    <row r="95" spans="1:8" ht="20.25" customHeight="1">
      <c r="A95" s="1" t="s">
        <v>324</v>
      </c>
      <c r="C95" s="673" t="str">
        <f>CONCATENATE(機械3_機械名,"　",機械3_銘柄,"　",機械3_形式)</f>
        <v>　　</v>
      </c>
      <c r="D95" s="673"/>
      <c r="E95" s="673"/>
      <c r="F95" s="673"/>
      <c r="G95" s="673"/>
      <c r="H95" s="673"/>
    </row>
    <row r="97" ht="20.25" customHeight="1">
      <c r="A97" s="1" t="s">
        <v>790</v>
      </c>
    </row>
    <row r="98" spans="1:8" ht="20.25" customHeight="1">
      <c r="A98" s="845">
        <f>IF(機械3_見積合わせの選定基準="","",機械3_見積合わせの選定基準)</f>
      </c>
      <c r="B98" s="845"/>
      <c r="C98" s="845"/>
      <c r="D98" s="845"/>
      <c r="E98" s="845"/>
      <c r="F98" s="845"/>
      <c r="G98" s="845"/>
      <c r="H98" s="845"/>
    </row>
    <row r="99" spans="1:8" ht="20.25" customHeight="1">
      <c r="A99" s="845"/>
      <c r="B99" s="845"/>
      <c r="C99" s="845"/>
      <c r="D99" s="845"/>
      <c r="E99" s="845"/>
      <c r="F99" s="845"/>
      <c r="G99" s="845"/>
      <c r="H99" s="845"/>
    </row>
    <row r="101" ht="20.25" customHeight="1">
      <c r="A101" s="1" t="s">
        <v>325</v>
      </c>
    </row>
    <row r="102" spans="1:8" ht="20.25" customHeight="1">
      <c r="A102" s="2"/>
      <c r="B102" s="2"/>
      <c r="C102" s="2"/>
      <c r="G102" s="2"/>
      <c r="H102" s="2"/>
    </row>
    <row r="103" spans="1:8" ht="20.25" customHeight="1">
      <c r="A103" s="763" t="s">
        <v>328</v>
      </c>
      <c r="B103" s="856"/>
      <c r="C103" s="850" t="s">
        <v>330</v>
      </c>
      <c r="D103" s="850"/>
      <c r="E103" s="851"/>
      <c r="G103" s="2"/>
      <c r="H103" s="2"/>
    </row>
    <row r="104" spans="1:8" ht="20.25" customHeight="1">
      <c r="A104" s="857">
        <f>T(機械3_現地納入業者_名称)</f>
      </c>
      <c r="B104" s="650"/>
      <c r="C104" s="843">
        <f>機械3_見積価格</f>
        <v>0</v>
      </c>
      <c r="D104" s="843"/>
      <c r="E104" s="844"/>
      <c r="G104" s="2"/>
      <c r="H104" s="2"/>
    </row>
    <row r="105" spans="1:8" ht="20.25" customHeight="1">
      <c r="A105" s="852">
        <f>IF(機械3_参加業者名2_参加業者名="","",機械3_参加業者名2_参加業者名)</f>
      </c>
      <c r="B105" s="757"/>
      <c r="C105" s="843">
        <f>IF(機械3_参加業者名2_見積価格="","",機械3_参加業者名2_見積価格)</f>
        <v>0</v>
      </c>
      <c r="D105" s="843"/>
      <c r="E105" s="844"/>
      <c r="G105" s="2"/>
      <c r="H105" s="2"/>
    </row>
    <row r="106" spans="1:8" ht="20.25" customHeight="1">
      <c r="A106" s="853">
        <f>IF(機械3_参加業者名3_参加業者名="","",機械3_参加業者名3_参加業者名)</f>
      </c>
      <c r="B106" s="706"/>
      <c r="C106" s="854">
        <f>IF(機械3_参加業者名3_見積価格="","",機械3_参加業者名3_見積価格)</f>
        <v>0</v>
      </c>
      <c r="D106" s="854"/>
      <c r="E106" s="855"/>
      <c r="G106" s="2"/>
      <c r="H106" s="2"/>
    </row>
    <row r="107" spans="1:8" ht="20.25" customHeight="1">
      <c r="A107" s="2"/>
      <c r="B107" s="2"/>
      <c r="C107" s="2"/>
      <c r="G107" s="2"/>
      <c r="H107" s="2"/>
    </row>
    <row r="108" spans="1:8" ht="20.25" customHeight="1">
      <c r="A108" s="845"/>
      <c r="B108" s="845"/>
      <c r="C108" s="845"/>
      <c r="D108" s="845"/>
      <c r="E108" s="845"/>
      <c r="F108" s="845"/>
      <c r="G108" s="845"/>
      <c r="H108" s="845"/>
    </row>
    <row r="109" spans="1:8" ht="20.25" customHeight="1">
      <c r="A109" s="845"/>
      <c r="B109" s="845"/>
      <c r="C109" s="845"/>
      <c r="D109" s="845"/>
      <c r="E109" s="845"/>
      <c r="F109" s="845"/>
      <c r="G109" s="845"/>
      <c r="H109" s="845"/>
    </row>
    <row r="110" spans="1:8" ht="20.25" customHeight="1">
      <c r="A110" s="845"/>
      <c r="B110" s="845"/>
      <c r="C110" s="845"/>
      <c r="D110" s="845"/>
      <c r="E110" s="845"/>
      <c r="F110" s="845"/>
      <c r="G110" s="845"/>
      <c r="H110" s="845"/>
    </row>
    <row r="111" spans="1:8" ht="20.25" customHeight="1">
      <c r="A111" s="845"/>
      <c r="B111" s="845"/>
      <c r="C111" s="845"/>
      <c r="D111" s="845"/>
      <c r="E111" s="845"/>
      <c r="F111" s="845"/>
      <c r="G111" s="845"/>
      <c r="H111" s="845"/>
    </row>
    <row r="112" spans="1:8" ht="20.25" customHeight="1">
      <c r="A112" s="845"/>
      <c r="B112" s="845"/>
      <c r="C112" s="845"/>
      <c r="D112" s="845"/>
      <c r="E112" s="845"/>
      <c r="F112" s="845"/>
      <c r="G112" s="845"/>
      <c r="H112" s="845"/>
    </row>
    <row r="113" spans="1:8" ht="20.25" customHeight="1">
      <c r="A113" s="845"/>
      <c r="B113" s="845"/>
      <c r="C113" s="845"/>
      <c r="D113" s="845"/>
      <c r="E113" s="845"/>
      <c r="F113" s="845"/>
      <c r="G113" s="845"/>
      <c r="H113" s="845"/>
    </row>
    <row r="114" spans="1:8" ht="20.25" customHeight="1">
      <c r="A114" s="845"/>
      <c r="B114" s="845"/>
      <c r="C114" s="845"/>
      <c r="D114" s="845"/>
      <c r="E114" s="845"/>
      <c r="F114" s="845"/>
      <c r="G114" s="845"/>
      <c r="H114" s="845"/>
    </row>
    <row r="115" spans="1:8" ht="20.25" customHeight="1">
      <c r="A115" s="845"/>
      <c r="B115" s="845"/>
      <c r="C115" s="845"/>
      <c r="D115" s="845"/>
      <c r="E115" s="845"/>
      <c r="F115" s="845"/>
      <c r="G115" s="845"/>
      <c r="H115" s="845"/>
    </row>
    <row r="117" ht="20.25" customHeight="1">
      <c r="A117" s="1" t="s">
        <v>326</v>
      </c>
    </row>
    <row r="118" spans="1:8" ht="20.25" customHeight="1">
      <c r="A118" s="1" t="s">
        <v>492</v>
      </c>
      <c r="F118" s="859"/>
      <c r="G118" s="859"/>
      <c r="H118" s="671"/>
    </row>
    <row r="119" spans="3:6" ht="20.25" customHeight="1">
      <c r="C119" s="3"/>
      <c r="D119" s="3"/>
      <c r="E119" s="3"/>
      <c r="F119" s="16"/>
    </row>
    <row r="120" spans="1:8" ht="20.25" customHeight="1">
      <c r="A120" s="861" t="s">
        <v>606</v>
      </c>
      <c r="B120" s="861"/>
      <c r="C120" s="861"/>
      <c r="D120" s="861"/>
      <c r="E120" s="861"/>
      <c r="F120" s="861"/>
      <c r="G120" s="861"/>
      <c r="H120" s="861"/>
    </row>
    <row r="121" spans="1:8" ht="20.25" customHeight="1">
      <c r="A121" s="18"/>
      <c r="B121" s="18"/>
      <c r="C121" s="18"/>
      <c r="D121" s="18"/>
      <c r="E121" s="18"/>
      <c r="F121" s="18"/>
      <c r="G121" s="18"/>
      <c r="H121" s="18"/>
    </row>
    <row r="122" spans="1:8" ht="20.25" customHeight="1">
      <c r="A122" s="14"/>
      <c r="B122" s="3"/>
      <c r="E122" s="2" t="s">
        <v>83</v>
      </c>
      <c r="F122" s="10"/>
      <c r="H122" s="1" t="s">
        <v>854</v>
      </c>
    </row>
    <row r="123" spans="5:8" ht="20.25" customHeight="1">
      <c r="E123" s="14" t="s">
        <v>1131</v>
      </c>
      <c r="F123" s="673">
        <f>T(住所_住所)</f>
      </c>
      <c r="G123" s="673"/>
      <c r="H123" s="673"/>
    </row>
    <row r="124" spans="5:8" ht="20.25" customHeight="1">
      <c r="E124" s="14" t="s">
        <v>1132</v>
      </c>
      <c r="F124" s="652" t="str">
        <f>CONCATENATE(借受者名_漢字,"　",代表者名_漢字)</f>
        <v>　</v>
      </c>
      <c r="G124" s="652"/>
      <c r="H124" s="3" t="s">
        <v>1134</v>
      </c>
    </row>
    <row r="125" spans="5:8" ht="20.25" customHeight="1">
      <c r="E125" s="14" t="s">
        <v>319</v>
      </c>
      <c r="F125" s="670">
        <f>T(借受団体_担当者名)</f>
      </c>
      <c r="G125" s="670"/>
      <c r="H125" s="3" t="s">
        <v>1134</v>
      </c>
    </row>
    <row r="126" spans="1:8" ht="20.25" customHeight="1">
      <c r="A126" s="3"/>
      <c r="B126" s="3"/>
      <c r="C126" s="3"/>
      <c r="D126" s="3"/>
      <c r="E126" s="670" t="s">
        <v>320</v>
      </c>
      <c r="F126" s="670"/>
      <c r="G126" s="670"/>
      <c r="H126" s="670"/>
    </row>
    <row r="128" spans="1:8" ht="20.25" customHeight="1">
      <c r="A128" s="749" t="s">
        <v>607</v>
      </c>
      <c r="B128" s="749"/>
      <c r="C128" s="749"/>
      <c r="D128" s="749"/>
      <c r="E128" s="749"/>
      <c r="F128" s="749"/>
      <c r="G128" s="749"/>
      <c r="H128" s="749"/>
    </row>
    <row r="129" spans="1:8" ht="20.25" customHeight="1">
      <c r="A129" s="749"/>
      <c r="B129" s="749"/>
      <c r="C129" s="749"/>
      <c r="D129" s="749"/>
      <c r="E129" s="749"/>
      <c r="F129" s="749"/>
      <c r="G129" s="749"/>
      <c r="H129" s="749"/>
    </row>
    <row r="130" spans="1:8" ht="20.25" customHeight="1">
      <c r="A130" s="670" t="s">
        <v>1135</v>
      </c>
      <c r="B130" s="670"/>
      <c r="C130" s="670"/>
      <c r="D130" s="670"/>
      <c r="E130" s="670"/>
      <c r="F130" s="670"/>
      <c r="G130" s="670"/>
      <c r="H130" s="670"/>
    </row>
    <row r="131" spans="1:8" ht="20.25" customHeight="1">
      <c r="A131" s="1" t="s">
        <v>321</v>
      </c>
      <c r="C131" s="2"/>
      <c r="G131" s="2"/>
      <c r="H131" s="2"/>
    </row>
    <row r="132" spans="1:8" ht="20.25" customHeight="1">
      <c r="A132" s="1" t="s">
        <v>322</v>
      </c>
      <c r="C132" s="671">
        <f>T(借受団体_団体名)</f>
      </c>
      <c r="D132" s="671"/>
      <c r="E132" s="671"/>
      <c r="F132" s="671"/>
      <c r="G132" s="2"/>
      <c r="H132" s="2"/>
    </row>
    <row r="133" spans="1:8" ht="20.25" customHeight="1">
      <c r="A133" s="1" t="s">
        <v>323</v>
      </c>
      <c r="C133" s="860">
        <f>機械4_見積合わせ実施年月日</f>
        <v>0</v>
      </c>
      <c r="D133" s="860"/>
      <c r="E133" s="860"/>
      <c r="G133" s="2"/>
      <c r="H133" s="2"/>
    </row>
    <row r="134" spans="1:8" ht="20.25" customHeight="1">
      <c r="A134" s="1" t="s">
        <v>324</v>
      </c>
      <c r="C134" s="673" t="str">
        <f>CONCATENATE(機械4_機械名,"　",機械4_銘柄,"　",機械4_形式)</f>
        <v>　　</v>
      </c>
      <c r="D134" s="673"/>
      <c r="E134" s="673"/>
      <c r="F134" s="673"/>
      <c r="G134" s="673"/>
      <c r="H134" s="673"/>
    </row>
    <row r="136" ht="20.25" customHeight="1">
      <c r="A136" s="1" t="s">
        <v>790</v>
      </c>
    </row>
    <row r="137" spans="1:8" ht="20.25" customHeight="1">
      <c r="A137" s="845">
        <f>IF(機械4_見積合わせの選定基準="","",機械4_見積合わせの選定基準)</f>
      </c>
      <c r="B137" s="845"/>
      <c r="C137" s="845"/>
      <c r="D137" s="845"/>
      <c r="E137" s="845"/>
      <c r="F137" s="845"/>
      <c r="G137" s="845"/>
      <c r="H137" s="845"/>
    </row>
    <row r="138" spans="1:8" ht="20.25" customHeight="1">
      <c r="A138" s="845"/>
      <c r="B138" s="845"/>
      <c r="C138" s="845"/>
      <c r="D138" s="845"/>
      <c r="E138" s="845"/>
      <c r="F138" s="845"/>
      <c r="G138" s="845"/>
      <c r="H138" s="845"/>
    </row>
    <row r="140" ht="20.25" customHeight="1">
      <c r="A140" s="1" t="s">
        <v>325</v>
      </c>
    </row>
    <row r="141" spans="1:8" ht="20.25" customHeight="1">
      <c r="A141" s="2"/>
      <c r="B141" s="2"/>
      <c r="C141" s="2"/>
      <c r="G141" s="2"/>
      <c r="H141" s="2"/>
    </row>
    <row r="142" spans="1:8" ht="20.25" customHeight="1">
      <c r="A142" s="763" t="s">
        <v>328</v>
      </c>
      <c r="B142" s="856"/>
      <c r="C142" s="850" t="s">
        <v>330</v>
      </c>
      <c r="D142" s="850"/>
      <c r="E142" s="851"/>
      <c r="G142" s="2"/>
      <c r="H142" s="2"/>
    </row>
    <row r="143" spans="1:8" ht="20.25" customHeight="1">
      <c r="A143" s="857">
        <f>T(機械4_現地納入業者_名称)</f>
      </c>
      <c r="B143" s="650"/>
      <c r="C143" s="843">
        <f>機械4_見積価格</f>
        <v>0</v>
      </c>
      <c r="D143" s="843"/>
      <c r="E143" s="844"/>
      <c r="G143" s="2"/>
      <c r="H143" s="2"/>
    </row>
    <row r="144" spans="1:8" ht="20.25" customHeight="1">
      <c r="A144" s="852">
        <f>IF(機械4_参加業者名2_参加業者名="","",機械4_参加業者名2_参加業者名)</f>
      </c>
      <c r="B144" s="757"/>
      <c r="C144" s="843">
        <f>IF(機械4_参加業者名2_見積価格="","",機械4_参加業者名2_見積価格)</f>
        <v>0</v>
      </c>
      <c r="D144" s="843"/>
      <c r="E144" s="844"/>
      <c r="G144" s="2"/>
      <c r="H144" s="2"/>
    </row>
    <row r="145" spans="1:8" ht="20.25" customHeight="1">
      <c r="A145" s="853">
        <f>IF(機械4_参加業者名3_参加業者名="","",機械4_参加業者名3_参加業者名)</f>
      </c>
      <c r="B145" s="706"/>
      <c r="C145" s="854">
        <f>IF(機械4_参加業者名3_見積価格="","",機械4_参加業者名3_見積価格)</f>
        <v>0</v>
      </c>
      <c r="D145" s="854"/>
      <c r="E145" s="855"/>
      <c r="G145" s="2"/>
      <c r="H145" s="2"/>
    </row>
    <row r="146" spans="1:8" ht="20.25" customHeight="1">
      <c r="A146" s="2"/>
      <c r="B146" s="2"/>
      <c r="C146" s="2"/>
      <c r="G146" s="2"/>
      <c r="H146" s="2"/>
    </row>
    <row r="147" spans="1:8" ht="20.25" customHeight="1">
      <c r="A147" s="845"/>
      <c r="B147" s="845"/>
      <c r="C147" s="845"/>
      <c r="D147" s="845"/>
      <c r="E147" s="845"/>
      <c r="F147" s="845"/>
      <c r="G147" s="845"/>
      <c r="H147" s="845"/>
    </row>
    <row r="148" spans="1:8" ht="20.25" customHeight="1">
      <c r="A148" s="845"/>
      <c r="B148" s="845"/>
      <c r="C148" s="845"/>
      <c r="D148" s="845"/>
      <c r="E148" s="845"/>
      <c r="F148" s="845"/>
      <c r="G148" s="845"/>
      <c r="H148" s="845"/>
    </row>
    <row r="149" spans="1:8" ht="20.25" customHeight="1">
      <c r="A149" s="845"/>
      <c r="B149" s="845"/>
      <c r="C149" s="845"/>
      <c r="D149" s="845"/>
      <c r="E149" s="845"/>
      <c r="F149" s="845"/>
      <c r="G149" s="845"/>
      <c r="H149" s="845"/>
    </row>
    <row r="150" spans="1:8" ht="20.25" customHeight="1">
      <c r="A150" s="845"/>
      <c r="B150" s="845"/>
      <c r="C150" s="845"/>
      <c r="D150" s="845"/>
      <c r="E150" s="845"/>
      <c r="F150" s="845"/>
      <c r="G150" s="845"/>
      <c r="H150" s="845"/>
    </row>
    <row r="151" spans="1:8" ht="20.25" customHeight="1">
      <c r="A151" s="845"/>
      <c r="B151" s="845"/>
      <c r="C151" s="845"/>
      <c r="D151" s="845"/>
      <c r="E151" s="845"/>
      <c r="F151" s="845"/>
      <c r="G151" s="845"/>
      <c r="H151" s="845"/>
    </row>
    <row r="152" spans="1:8" ht="20.25" customHeight="1">
      <c r="A152" s="845"/>
      <c r="B152" s="845"/>
      <c r="C152" s="845"/>
      <c r="D152" s="845"/>
      <c r="E152" s="845"/>
      <c r="F152" s="845"/>
      <c r="G152" s="845"/>
      <c r="H152" s="845"/>
    </row>
    <row r="153" spans="1:8" ht="20.25" customHeight="1">
      <c r="A153" s="845"/>
      <c r="B153" s="845"/>
      <c r="C153" s="845"/>
      <c r="D153" s="845"/>
      <c r="E153" s="845"/>
      <c r="F153" s="845"/>
      <c r="G153" s="845"/>
      <c r="H153" s="845"/>
    </row>
    <row r="154" spans="1:8" ht="20.25" customHeight="1">
      <c r="A154" s="845"/>
      <c r="B154" s="845"/>
      <c r="C154" s="845"/>
      <c r="D154" s="845"/>
      <c r="E154" s="845"/>
      <c r="F154" s="845"/>
      <c r="G154" s="845"/>
      <c r="H154" s="845"/>
    </row>
    <row r="156" ht="20.25" customHeight="1">
      <c r="A156" s="1" t="s">
        <v>326</v>
      </c>
    </row>
  </sheetData>
  <sheetProtection password="C704" sheet="1" selectLockedCells="1" selectUnlockedCells="1"/>
  <mergeCells count="84">
    <mergeCell ref="A147:H154"/>
    <mergeCell ref="A144:B144"/>
    <mergeCell ref="C144:E144"/>
    <mergeCell ref="A145:B145"/>
    <mergeCell ref="C145:E145"/>
    <mergeCell ref="C134:H134"/>
    <mergeCell ref="A143:B143"/>
    <mergeCell ref="C143:E143"/>
    <mergeCell ref="A137:H138"/>
    <mergeCell ref="A142:B142"/>
    <mergeCell ref="C142:E142"/>
    <mergeCell ref="F124:G124"/>
    <mergeCell ref="F125:G125"/>
    <mergeCell ref="C132:F132"/>
    <mergeCell ref="C133:E133"/>
    <mergeCell ref="E126:H126"/>
    <mergeCell ref="A128:H129"/>
    <mergeCell ref="A130:H130"/>
    <mergeCell ref="A105:B105"/>
    <mergeCell ref="C105:E105"/>
    <mergeCell ref="A106:B106"/>
    <mergeCell ref="C106:E106"/>
    <mergeCell ref="A120:H120"/>
    <mergeCell ref="F123:H123"/>
    <mergeCell ref="E87:H87"/>
    <mergeCell ref="A89:H90"/>
    <mergeCell ref="A108:H115"/>
    <mergeCell ref="F118:H118"/>
    <mergeCell ref="C94:E94"/>
    <mergeCell ref="C95:H95"/>
    <mergeCell ref="A98:H99"/>
    <mergeCell ref="A103:B103"/>
    <mergeCell ref="C103:E103"/>
    <mergeCell ref="A104:B104"/>
    <mergeCell ref="A91:H91"/>
    <mergeCell ref="C93:F93"/>
    <mergeCell ref="C104:E104"/>
    <mergeCell ref="A67:B67"/>
    <mergeCell ref="C67:E67"/>
    <mergeCell ref="A69:H76"/>
    <mergeCell ref="F79:H79"/>
    <mergeCell ref="A81:H81"/>
    <mergeCell ref="F84:H84"/>
    <mergeCell ref="F85:G85"/>
    <mergeCell ref="F86:G86"/>
    <mergeCell ref="A59:H60"/>
    <mergeCell ref="A64:B64"/>
    <mergeCell ref="C64:E64"/>
    <mergeCell ref="A65:B65"/>
    <mergeCell ref="C65:E65"/>
    <mergeCell ref="A3:H3"/>
    <mergeCell ref="E9:H9"/>
    <mergeCell ref="A66:B66"/>
    <mergeCell ref="C66:E66"/>
    <mergeCell ref="E48:H48"/>
    <mergeCell ref="A50:H51"/>
    <mergeCell ref="A52:H52"/>
    <mergeCell ref="C54:F54"/>
    <mergeCell ref="C55:E55"/>
    <mergeCell ref="C56:H56"/>
    <mergeCell ref="F47:G47"/>
    <mergeCell ref="C28:E28"/>
    <mergeCell ref="F40:H40"/>
    <mergeCell ref="A42:H42"/>
    <mergeCell ref="F45:H45"/>
    <mergeCell ref="F46:G46"/>
    <mergeCell ref="F1:H1"/>
    <mergeCell ref="F7:G7"/>
    <mergeCell ref="A20:H21"/>
    <mergeCell ref="C16:E16"/>
    <mergeCell ref="A11:H12"/>
    <mergeCell ref="F6:H6"/>
    <mergeCell ref="F8:G8"/>
    <mergeCell ref="A13:H13"/>
    <mergeCell ref="C15:F15"/>
    <mergeCell ref="C17:H17"/>
    <mergeCell ref="A27:B27"/>
    <mergeCell ref="A25:B25"/>
    <mergeCell ref="A26:B26"/>
    <mergeCell ref="A30:H37"/>
    <mergeCell ref="A28:B28"/>
    <mergeCell ref="C25:E25"/>
    <mergeCell ref="C26:E26"/>
    <mergeCell ref="C27:E27"/>
  </mergeCells>
  <printOptions horizontalCentered="1"/>
  <pageMargins left="0.7480314960629921" right="0.7086614173228347" top="0.9055118110236221" bottom="0.7874015748031497" header="0.5118110236220472" footer="0.5118110236220472"/>
  <pageSetup blackAndWhite="1" fitToHeight="0" horizontalDpi="300" verticalDpi="300" orientation="portrait" paperSize="9" scale="90" r:id="rId1"/>
  <rowBreaks count="3" manualBreakCount="3">
    <brk id="39" max="255" man="1"/>
    <brk id="78" max="255" man="1"/>
    <brk id="117" max="255" man="1"/>
  </rowBreaks>
</worksheet>
</file>

<file path=xl/worksheets/sheet13.xml><?xml version="1.0" encoding="utf-8"?>
<worksheet xmlns="http://schemas.openxmlformats.org/spreadsheetml/2006/main" xmlns:r="http://schemas.openxmlformats.org/officeDocument/2006/relationships">
  <sheetPr codeName="shtYoshiki72"/>
  <dimension ref="A1:H168"/>
  <sheetViews>
    <sheetView view="pageBreakPreview" zoomScaleSheetLayoutView="100" zoomScalePageLayoutView="0" workbookViewId="0" topLeftCell="A115">
      <selection activeCell="C142" sqref="C142:H142"/>
    </sheetView>
  </sheetViews>
  <sheetFormatPr defaultColWidth="5.375" defaultRowHeight="20.25" customHeight="1"/>
  <cols>
    <col min="1" max="1" width="14.125" style="1" customWidth="1"/>
    <col min="2" max="2" width="18.625" style="1" customWidth="1"/>
    <col min="3" max="3" width="3.375" style="1" bestFit="1" customWidth="1"/>
    <col min="4" max="4" width="8.125" style="2" customWidth="1"/>
    <col min="5" max="5" width="11.00390625" style="2" bestFit="1" customWidth="1"/>
    <col min="6" max="6" width="17.00390625" style="2" customWidth="1"/>
    <col min="7" max="7" width="17.00390625" style="1" customWidth="1"/>
    <col min="8" max="16384" width="5.375" style="1" customWidth="1"/>
  </cols>
  <sheetData>
    <row r="1" spans="1:8" ht="20.25" customHeight="1">
      <c r="A1" s="1" t="s">
        <v>493</v>
      </c>
      <c r="F1" s="859"/>
      <c r="G1" s="859"/>
      <c r="H1" s="671"/>
    </row>
    <row r="2" spans="3:6" ht="20.25" customHeight="1">
      <c r="C2" s="3"/>
      <c r="D2" s="3"/>
      <c r="E2" s="3"/>
      <c r="F2" s="16"/>
    </row>
    <row r="3" spans="1:8" ht="20.25" customHeight="1">
      <c r="A3" s="861" t="s">
        <v>606</v>
      </c>
      <c r="B3" s="861"/>
      <c r="C3" s="861"/>
      <c r="D3" s="861"/>
      <c r="E3" s="861"/>
      <c r="F3" s="861"/>
      <c r="G3" s="861"/>
      <c r="H3" s="861"/>
    </row>
    <row r="4" spans="1:8" ht="20.25" customHeight="1">
      <c r="A4" s="18"/>
      <c r="B4" s="18"/>
      <c r="C4" s="18"/>
      <c r="D4" s="18"/>
      <c r="E4" s="18"/>
      <c r="F4" s="18"/>
      <c r="G4" s="18"/>
      <c r="H4" s="18"/>
    </row>
    <row r="5" spans="1:8" ht="20.25" customHeight="1">
      <c r="A5" s="14"/>
      <c r="B5" s="3"/>
      <c r="E5" s="2" t="s">
        <v>83</v>
      </c>
      <c r="F5" s="10"/>
      <c r="H5" s="1" t="s">
        <v>854</v>
      </c>
    </row>
    <row r="6" spans="5:8" ht="20.25" customHeight="1">
      <c r="E6" s="14" t="s">
        <v>1131</v>
      </c>
      <c r="F6" s="673">
        <f>住所_住所</f>
        <v>0</v>
      </c>
      <c r="G6" s="673"/>
      <c r="H6" s="673"/>
    </row>
    <row r="7" spans="5:8" ht="20.25" customHeight="1">
      <c r="E7" s="14" t="s">
        <v>1132</v>
      </c>
      <c r="F7" s="652" t="str">
        <f>CONCATENATE(借受者名_漢字,"　",代表者名_漢字)</f>
        <v>　</v>
      </c>
      <c r="G7" s="652"/>
      <c r="H7" s="3" t="s">
        <v>1134</v>
      </c>
    </row>
    <row r="8" spans="5:8" ht="20.25" customHeight="1">
      <c r="E8" s="14" t="s">
        <v>319</v>
      </c>
      <c r="F8" s="652">
        <f>T(借受団体_担当者名)</f>
      </c>
      <c r="G8" s="652"/>
      <c r="H8" s="3" t="s">
        <v>1134</v>
      </c>
    </row>
    <row r="9" spans="1:8" ht="20.25" customHeight="1">
      <c r="A9" s="3"/>
      <c r="B9" s="3"/>
      <c r="C9" s="3"/>
      <c r="D9" s="3"/>
      <c r="E9" s="670" t="s">
        <v>320</v>
      </c>
      <c r="F9" s="670"/>
      <c r="G9" s="670"/>
      <c r="H9" s="670"/>
    </row>
    <row r="11" spans="1:8" ht="20.25" customHeight="1">
      <c r="A11" s="749" t="s">
        <v>607</v>
      </c>
      <c r="B11" s="749"/>
      <c r="C11" s="749"/>
      <c r="D11" s="749"/>
      <c r="E11" s="749"/>
      <c r="F11" s="749"/>
      <c r="G11" s="749"/>
      <c r="H11" s="749"/>
    </row>
    <row r="12" spans="1:8" ht="20.25" customHeight="1">
      <c r="A12" s="749"/>
      <c r="B12" s="749"/>
      <c r="C12" s="749"/>
      <c r="D12" s="749"/>
      <c r="E12" s="749"/>
      <c r="F12" s="749"/>
      <c r="G12" s="749"/>
      <c r="H12" s="749"/>
    </row>
    <row r="13" spans="1:8" ht="20.25" customHeight="1">
      <c r="A13" s="670" t="s">
        <v>1135</v>
      </c>
      <c r="B13" s="670"/>
      <c r="C13" s="670"/>
      <c r="D13" s="670"/>
      <c r="E13" s="670"/>
      <c r="F13" s="670"/>
      <c r="G13" s="670"/>
      <c r="H13" s="670"/>
    </row>
    <row r="14" spans="1:8" ht="20.25" customHeight="1">
      <c r="A14" s="1" t="s">
        <v>321</v>
      </c>
      <c r="C14" s="2"/>
      <c r="G14" s="2"/>
      <c r="H14" s="2"/>
    </row>
    <row r="15" spans="1:8" ht="20.25" customHeight="1">
      <c r="A15" s="1" t="s">
        <v>322</v>
      </c>
      <c r="C15" s="673">
        <f>T(借受団体_団体名)</f>
      </c>
      <c r="D15" s="673"/>
      <c r="E15" s="673"/>
      <c r="F15" s="673"/>
      <c r="G15" s="2"/>
      <c r="H15" s="2"/>
    </row>
    <row r="16" spans="1:8" ht="20.25" customHeight="1">
      <c r="A16" s="1" t="s">
        <v>760</v>
      </c>
      <c r="C16" s="673" t="str">
        <f>CONCATENATE(機械1_機械名,"　",機械1_銘柄,"　",機械1_形式)</f>
        <v>　　</v>
      </c>
      <c r="D16" s="673"/>
      <c r="E16" s="673"/>
      <c r="F16" s="673"/>
      <c r="G16" s="673"/>
      <c r="H16" s="673"/>
    </row>
    <row r="18" ht="20.25" customHeight="1">
      <c r="A18" s="1" t="s">
        <v>791</v>
      </c>
    </row>
    <row r="19" spans="1:8" ht="20.25" customHeight="1">
      <c r="A19" s="845">
        <f>T(機械1_選定理由)</f>
      </c>
      <c r="B19" s="845"/>
      <c r="C19" s="845"/>
      <c r="D19" s="845"/>
      <c r="E19" s="845"/>
      <c r="F19" s="845"/>
      <c r="G19" s="845"/>
      <c r="H19" s="845"/>
    </row>
    <row r="20" spans="1:8" ht="20.25" customHeight="1">
      <c r="A20" s="845"/>
      <c r="B20" s="845"/>
      <c r="C20" s="845"/>
      <c r="D20" s="845"/>
      <c r="E20" s="845"/>
      <c r="F20" s="845"/>
      <c r="G20" s="845"/>
      <c r="H20" s="845"/>
    </row>
    <row r="22" ht="20.25" customHeight="1">
      <c r="A22" s="1" t="s">
        <v>792</v>
      </c>
    </row>
    <row r="23" ht="20.25" customHeight="1">
      <c r="A23" s="1" t="s">
        <v>761</v>
      </c>
    </row>
    <row r="24" spans="1:8" ht="20.25" customHeight="1">
      <c r="A24" s="845">
        <f>T(機械1_情報活用内容_提供元と提供情報)</f>
      </c>
      <c r="B24" s="845"/>
      <c r="C24" s="845"/>
      <c r="D24" s="845"/>
      <c r="E24" s="845"/>
      <c r="F24" s="845"/>
      <c r="G24" s="845"/>
      <c r="H24" s="845"/>
    </row>
    <row r="25" spans="1:8" ht="20.25" customHeight="1">
      <c r="A25" s="845"/>
      <c r="B25" s="845"/>
      <c r="C25" s="845"/>
      <c r="D25" s="845"/>
      <c r="E25" s="845"/>
      <c r="F25" s="845"/>
      <c r="G25" s="845"/>
      <c r="H25" s="845"/>
    </row>
    <row r="26" ht="20.25" customHeight="1">
      <c r="A26" s="1" t="s">
        <v>762</v>
      </c>
    </row>
    <row r="27" spans="1:8" ht="20.25" customHeight="1">
      <c r="A27" s="845">
        <f>T(機械1_情報活用内容_具体的に活用した情報)</f>
      </c>
      <c r="B27" s="845"/>
      <c r="C27" s="845"/>
      <c r="D27" s="845"/>
      <c r="E27" s="845"/>
      <c r="F27" s="845"/>
      <c r="G27" s="845"/>
      <c r="H27" s="845"/>
    </row>
    <row r="28" spans="1:8" ht="20.25" customHeight="1">
      <c r="A28" s="845"/>
      <c r="B28" s="845"/>
      <c r="C28" s="845"/>
      <c r="D28" s="845"/>
      <c r="E28" s="845"/>
      <c r="F28" s="845"/>
      <c r="G28" s="845"/>
      <c r="H28" s="845"/>
    </row>
    <row r="29" ht="20.25" customHeight="1">
      <c r="A29" s="1" t="s">
        <v>763</v>
      </c>
    </row>
    <row r="30" spans="1:8" ht="20.25" customHeight="1">
      <c r="A30" s="845">
        <f>T(機械1_自主調査の概要_調査農家の概要)</f>
      </c>
      <c r="B30" s="845"/>
      <c r="C30" s="845"/>
      <c r="D30" s="845"/>
      <c r="E30" s="845"/>
      <c r="F30" s="845"/>
      <c r="G30" s="845"/>
      <c r="H30" s="845"/>
    </row>
    <row r="31" spans="1:8" ht="20.25" customHeight="1">
      <c r="A31" s="845"/>
      <c r="B31" s="845"/>
      <c r="C31" s="845"/>
      <c r="D31" s="845"/>
      <c r="E31" s="845"/>
      <c r="F31" s="845"/>
      <c r="G31" s="845"/>
      <c r="H31" s="845"/>
    </row>
    <row r="32" ht="20.25" customHeight="1">
      <c r="A32" s="1" t="s">
        <v>764</v>
      </c>
    </row>
    <row r="33" spans="1:8" ht="20.25" customHeight="1">
      <c r="A33" s="845">
        <f>T(機械1_自主調査の概要_調査機械の概要)</f>
      </c>
      <c r="B33" s="845"/>
      <c r="C33" s="845"/>
      <c r="D33" s="845"/>
      <c r="E33" s="845"/>
      <c r="F33" s="845"/>
      <c r="G33" s="845"/>
      <c r="H33" s="845"/>
    </row>
    <row r="34" spans="1:8" ht="20.25" customHeight="1">
      <c r="A34" s="845"/>
      <c r="B34" s="845"/>
      <c r="C34" s="845"/>
      <c r="D34" s="845"/>
      <c r="E34" s="845"/>
      <c r="F34" s="845"/>
      <c r="G34" s="845"/>
      <c r="H34" s="845"/>
    </row>
    <row r="35" spans="1:8" ht="20.25" customHeight="1">
      <c r="A35" s="2"/>
      <c r="B35" s="2"/>
      <c r="C35" s="2"/>
      <c r="G35" s="2"/>
      <c r="H35" s="2"/>
    </row>
    <row r="36" spans="1:8" ht="20.25" customHeight="1">
      <c r="A36" s="2" t="s">
        <v>765</v>
      </c>
      <c r="B36" s="2"/>
      <c r="C36" s="2"/>
      <c r="G36" s="2"/>
      <c r="H36" s="2"/>
    </row>
    <row r="37" spans="1:8" ht="20.25" customHeight="1">
      <c r="A37" s="845">
        <f>T(機械1_業者との価格交渉経過)</f>
      </c>
      <c r="B37" s="845"/>
      <c r="C37" s="845"/>
      <c r="D37" s="845"/>
      <c r="E37" s="845"/>
      <c r="F37" s="845"/>
      <c r="G37" s="845"/>
      <c r="H37" s="845"/>
    </row>
    <row r="38" spans="1:8" ht="20.25" customHeight="1">
      <c r="A38" s="845"/>
      <c r="B38" s="845"/>
      <c r="C38" s="845"/>
      <c r="D38" s="845"/>
      <c r="E38" s="845"/>
      <c r="F38" s="845"/>
      <c r="G38" s="845"/>
      <c r="H38" s="845"/>
    </row>
    <row r="39" spans="1:8" ht="20.25" customHeight="1">
      <c r="A39" s="845"/>
      <c r="B39" s="845"/>
      <c r="C39" s="845"/>
      <c r="D39" s="845"/>
      <c r="E39" s="845"/>
      <c r="F39" s="845"/>
      <c r="G39" s="845"/>
      <c r="H39" s="845"/>
    </row>
    <row r="40" spans="1:8" ht="20.25" customHeight="1">
      <c r="A40" s="845"/>
      <c r="B40" s="845"/>
      <c r="C40" s="845"/>
      <c r="D40" s="845"/>
      <c r="E40" s="845"/>
      <c r="F40" s="845"/>
      <c r="G40" s="845"/>
      <c r="H40" s="845"/>
    </row>
    <row r="41" spans="1:8" ht="20.25" customHeight="1">
      <c r="A41" s="845"/>
      <c r="B41" s="845"/>
      <c r="C41" s="845"/>
      <c r="D41" s="845"/>
      <c r="E41" s="845"/>
      <c r="F41" s="845"/>
      <c r="G41" s="845"/>
      <c r="H41" s="845"/>
    </row>
    <row r="42" ht="20.25" customHeight="1">
      <c r="A42" s="1" t="s">
        <v>326</v>
      </c>
    </row>
    <row r="43" spans="1:8" ht="20.25" customHeight="1">
      <c r="A43" s="1" t="s">
        <v>493</v>
      </c>
      <c r="F43" s="859"/>
      <c r="G43" s="859"/>
      <c r="H43" s="671"/>
    </row>
    <row r="44" spans="3:6" ht="20.25" customHeight="1">
      <c r="C44" s="3"/>
      <c r="D44" s="3"/>
      <c r="E44" s="3"/>
      <c r="F44" s="16"/>
    </row>
    <row r="45" spans="1:8" ht="20.25" customHeight="1">
      <c r="A45" s="861" t="s">
        <v>606</v>
      </c>
      <c r="B45" s="861"/>
      <c r="C45" s="861"/>
      <c r="D45" s="861"/>
      <c r="E45" s="861"/>
      <c r="F45" s="861"/>
      <c r="G45" s="861"/>
      <c r="H45" s="861"/>
    </row>
    <row r="46" spans="1:8" ht="20.25" customHeight="1">
      <c r="A46" s="18"/>
      <c r="B46" s="18"/>
      <c r="C46" s="18"/>
      <c r="D46" s="18"/>
      <c r="E46" s="18"/>
      <c r="F46" s="18"/>
      <c r="G46" s="18"/>
      <c r="H46" s="18"/>
    </row>
    <row r="47" spans="1:8" ht="20.25" customHeight="1">
      <c r="A47" s="14"/>
      <c r="B47" s="3"/>
      <c r="E47" s="2" t="s">
        <v>83</v>
      </c>
      <c r="F47" s="10"/>
      <c r="H47" s="1" t="s">
        <v>854</v>
      </c>
    </row>
    <row r="48" spans="5:8" ht="20.25" customHeight="1">
      <c r="E48" s="14" t="s">
        <v>1131</v>
      </c>
      <c r="F48" s="673">
        <f>T(住所_住所)</f>
      </c>
      <c r="G48" s="673"/>
      <c r="H48" s="673"/>
    </row>
    <row r="49" spans="5:8" ht="20.25" customHeight="1">
      <c r="E49" s="14" t="s">
        <v>1132</v>
      </c>
      <c r="F49" s="652" t="str">
        <f>CONCATENATE(借受者名_漢字,"　",代表者名_漢字)</f>
        <v>　</v>
      </c>
      <c r="G49" s="652"/>
      <c r="H49" s="3" t="s">
        <v>1134</v>
      </c>
    </row>
    <row r="50" spans="5:8" ht="20.25" customHeight="1">
      <c r="E50" s="14" t="s">
        <v>319</v>
      </c>
      <c r="F50" s="652">
        <f>T(借受団体_担当者名)</f>
      </c>
      <c r="G50" s="652"/>
      <c r="H50" s="3" t="s">
        <v>1134</v>
      </c>
    </row>
    <row r="51" spans="1:8" ht="20.25" customHeight="1">
      <c r="A51" s="3"/>
      <c r="B51" s="3"/>
      <c r="C51" s="3"/>
      <c r="D51" s="3"/>
      <c r="E51" s="670" t="s">
        <v>320</v>
      </c>
      <c r="F51" s="670"/>
      <c r="G51" s="670"/>
      <c r="H51" s="670"/>
    </row>
    <row r="53" spans="1:8" ht="20.25" customHeight="1">
      <c r="A53" s="749" t="s">
        <v>607</v>
      </c>
      <c r="B53" s="749"/>
      <c r="C53" s="749"/>
      <c r="D53" s="749"/>
      <c r="E53" s="749"/>
      <c r="F53" s="749"/>
      <c r="G53" s="749"/>
      <c r="H53" s="749"/>
    </row>
    <row r="54" spans="1:8" ht="20.25" customHeight="1">
      <c r="A54" s="749"/>
      <c r="B54" s="749"/>
      <c r="C54" s="749"/>
      <c r="D54" s="749"/>
      <c r="E54" s="749"/>
      <c r="F54" s="749"/>
      <c r="G54" s="749"/>
      <c r="H54" s="749"/>
    </row>
    <row r="55" spans="1:8" ht="20.25" customHeight="1">
      <c r="A55" s="670" t="s">
        <v>1135</v>
      </c>
      <c r="B55" s="670"/>
      <c r="C55" s="670"/>
      <c r="D55" s="670"/>
      <c r="E55" s="670"/>
      <c r="F55" s="670"/>
      <c r="G55" s="670"/>
      <c r="H55" s="670"/>
    </row>
    <row r="56" spans="1:8" ht="20.25" customHeight="1">
      <c r="A56" s="1" t="s">
        <v>321</v>
      </c>
      <c r="C56" s="2"/>
      <c r="G56" s="2"/>
      <c r="H56" s="2"/>
    </row>
    <row r="57" spans="1:8" ht="20.25" customHeight="1">
      <c r="A57" s="1" t="s">
        <v>322</v>
      </c>
      <c r="C57" s="673">
        <f>T(借受団体_団体名)</f>
      </c>
      <c r="D57" s="673"/>
      <c r="E57" s="673"/>
      <c r="F57" s="673"/>
      <c r="G57" s="2"/>
      <c r="H57" s="2"/>
    </row>
    <row r="58" spans="1:8" ht="20.25" customHeight="1">
      <c r="A58" s="1" t="s">
        <v>760</v>
      </c>
      <c r="C58" s="673" t="str">
        <f>CONCATENATE(機械2_機械名,"　",機械2_銘柄,"　",機械2_形式)</f>
        <v>　　</v>
      </c>
      <c r="D58" s="673"/>
      <c r="E58" s="673"/>
      <c r="F58" s="673"/>
      <c r="G58" s="673"/>
      <c r="H58" s="673"/>
    </row>
    <row r="60" ht="20.25" customHeight="1">
      <c r="A60" s="1" t="s">
        <v>791</v>
      </c>
    </row>
    <row r="61" spans="1:8" ht="20.25" customHeight="1">
      <c r="A61" s="845">
        <f>T(機械2_選定理由)</f>
      </c>
      <c r="B61" s="845"/>
      <c r="C61" s="845"/>
      <c r="D61" s="845"/>
      <c r="E61" s="845"/>
      <c r="F61" s="845"/>
      <c r="G61" s="845"/>
      <c r="H61" s="845"/>
    </row>
    <row r="62" spans="1:8" ht="20.25" customHeight="1">
      <c r="A62" s="845"/>
      <c r="B62" s="845"/>
      <c r="C62" s="845"/>
      <c r="D62" s="845"/>
      <c r="E62" s="845"/>
      <c r="F62" s="845"/>
      <c r="G62" s="845"/>
      <c r="H62" s="845"/>
    </row>
    <row r="64" ht="20.25" customHeight="1">
      <c r="A64" s="1" t="s">
        <v>792</v>
      </c>
    </row>
    <row r="65" ht="20.25" customHeight="1">
      <c r="A65" s="1" t="s">
        <v>761</v>
      </c>
    </row>
    <row r="66" spans="1:8" ht="20.25" customHeight="1">
      <c r="A66" s="845">
        <f>T(機械2_情報活用内容_提供元と提供情報)</f>
      </c>
      <c r="B66" s="845"/>
      <c r="C66" s="845"/>
      <c r="D66" s="845"/>
      <c r="E66" s="845"/>
      <c r="F66" s="845"/>
      <c r="G66" s="845"/>
      <c r="H66" s="845"/>
    </row>
    <row r="67" spans="1:8" ht="20.25" customHeight="1">
      <c r="A67" s="845"/>
      <c r="B67" s="845"/>
      <c r="C67" s="845"/>
      <c r="D67" s="845"/>
      <c r="E67" s="845"/>
      <c r="F67" s="845"/>
      <c r="G67" s="845"/>
      <c r="H67" s="845"/>
    </row>
    <row r="68" ht="20.25" customHeight="1">
      <c r="A68" s="1" t="s">
        <v>762</v>
      </c>
    </row>
    <row r="69" spans="1:8" ht="20.25" customHeight="1">
      <c r="A69" s="845">
        <f>T(機械2_情報活用内容_具体的に活用した情報)</f>
      </c>
      <c r="B69" s="845"/>
      <c r="C69" s="845"/>
      <c r="D69" s="845"/>
      <c r="E69" s="845"/>
      <c r="F69" s="845"/>
      <c r="G69" s="845"/>
      <c r="H69" s="845"/>
    </row>
    <row r="70" spans="1:8" ht="20.25" customHeight="1">
      <c r="A70" s="845"/>
      <c r="B70" s="845"/>
      <c r="C70" s="845"/>
      <c r="D70" s="845"/>
      <c r="E70" s="845"/>
      <c r="F70" s="845"/>
      <c r="G70" s="845"/>
      <c r="H70" s="845"/>
    </row>
    <row r="71" ht="20.25" customHeight="1">
      <c r="A71" s="1" t="s">
        <v>763</v>
      </c>
    </row>
    <row r="72" spans="1:8" ht="20.25" customHeight="1">
      <c r="A72" s="845">
        <f>T(機械2_自主調査の概要_調査農家の概要)</f>
      </c>
      <c r="B72" s="845"/>
      <c r="C72" s="845"/>
      <c r="D72" s="845"/>
      <c r="E72" s="845"/>
      <c r="F72" s="845"/>
      <c r="G72" s="845"/>
      <c r="H72" s="845"/>
    </row>
    <row r="73" spans="1:8" ht="20.25" customHeight="1">
      <c r="A73" s="845"/>
      <c r="B73" s="845"/>
      <c r="C73" s="845"/>
      <c r="D73" s="845"/>
      <c r="E73" s="845"/>
      <c r="F73" s="845"/>
      <c r="G73" s="845"/>
      <c r="H73" s="845"/>
    </row>
    <row r="74" ht="20.25" customHeight="1">
      <c r="A74" s="1" t="s">
        <v>764</v>
      </c>
    </row>
    <row r="75" spans="1:8" ht="20.25" customHeight="1">
      <c r="A75" s="845">
        <f>T(機械2_自主調査の概要_調査機械の概要)</f>
      </c>
      <c r="B75" s="845"/>
      <c r="C75" s="845"/>
      <c r="D75" s="845"/>
      <c r="E75" s="845"/>
      <c r="F75" s="845"/>
      <c r="G75" s="845"/>
      <c r="H75" s="845"/>
    </row>
    <row r="76" spans="1:8" ht="20.25" customHeight="1">
      <c r="A76" s="845"/>
      <c r="B76" s="845"/>
      <c r="C76" s="845"/>
      <c r="D76" s="845"/>
      <c r="E76" s="845"/>
      <c r="F76" s="845"/>
      <c r="G76" s="845"/>
      <c r="H76" s="845"/>
    </row>
    <row r="77" spans="1:8" ht="20.25" customHeight="1">
      <c r="A77" s="2"/>
      <c r="B77" s="2"/>
      <c r="C77" s="2"/>
      <c r="G77" s="2"/>
      <c r="H77" s="2"/>
    </row>
    <row r="78" spans="1:8" ht="20.25" customHeight="1">
      <c r="A78" s="2" t="s">
        <v>765</v>
      </c>
      <c r="B78" s="2"/>
      <c r="C78" s="2"/>
      <c r="G78" s="2"/>
      <c r="H78" s="2"/>
    </row>
    <row r="79" spans="1:8" ht="20.25" customHeight="1">
      <c r="A79" s="845">
        <f>T(機械2_業者との価格交渉経過)</f>
      </c>
      <c r="B79" s="845"/>
      <c r="C79" s="845"/>
      <c r="D79" s="845"/>
      <c r="E79" s="845"/>
      <c r="F79" s="845"/>
      <c r="G79" s="845"/>
      <c r="H79" s="845"/>
    </row>
    <row r="80" spans="1:8" ht="20.25" customHeight="1">
      <c r="A80" s="845"/>
      <c r="B80" s="845"/>
      <c r="C80" s="845"/>
      <c r="D80" s="845"/>
      <c r="E80" s="845"/>
      <c r="F80" s="845"/>
      <c r="G80" s="845"/>
      <c r="H80" s="845"/>
    </row>
    <row r="81" spans="1:8" ht="20.25" customHeight="1">
      <c r="A81" s="845"/>
      <c r="B81" s="845"/>
      <c r="C81" s="845"/>
      <c r="D81" s="845"/>
      <c r="E81" s="845"/>
      <c r="F81" s="845"/>
      <c r="G81" s="845"/>
      <c r="H81" s="845"/>
    </row>
    <row r="82" spans="1:8" ht="20.25" customHeight="1">
      <c r="A82" s="845"/>
      <c r="B82" s="845"/>
      <c r="C82" s="845"/>
      <c r="D82" s="845"/>
      <c r="E82" s="845"/>
      <c r="F82" s="845"/>
      <c r="G82" s="845"/>
      <c r="H82" s="845"/>
    </row>
    <row r="83" spans="1:8" ht="20.25" customHeight="1">
      <c r="A83" s="845"/>
      <c r="B83" s="845"/>
      <c r="C83" s="845"/>
      <c r="D83" s="845"/>
      <c r="E83" s="845"/>
      <c r="F83" s="845"/>
      <c r="G83" s="845"/>
      <c r="H83" s="845"/>
    </row>
    <row r="84" ht="20.25" customHeight="1">
      <c r="A84" s="1" t="s">
        <v>326</v>
      </c>
    </row>
    <row r="85" spans="1:8" ht="20.25" customHeight="1">
      <c r="A85" s="1" t="s">
        <v>493</v>
      </c>
      <c r="F85" s="859"/>
      <c r="G85" s="859"/>
      <c r="H85" s="671"/>
    </row>
    <row r="86" spans="3:6" ht="20.25" customHeight="1">
      <c r="C86" s="3"/>
      <c r="D86" s="3"/>
      <c r="E86" s="3"/>
      <c r="F86" s="16"/>
    </row>
    <row r="87" spans="1:8" ht="20.25" customHeight="1">
      <c r="A87" s="861" t="s">
        <v>606</v>
      </c>
      <c r="B87" s="861"/>
      <c r="C87" s="861"/>
      <c r="D87" s="861"/>
      <c r="E87" s="861"/>
      <c r="F87" s="861"/>
      <c r="G87" s="861"/>
      <c r="H87" s="861"/>
    </row>
    <row r="88" spans="1:8" ht="20.25" customHeight="1">
      <c r="A88" s="18"/>
      <c r="B88" s="18"/>
      <c r="C88" s="18"/>
      <c r="D88" s="18"/>
      <c r="E88" s="18"/>
      <c r="F88" s="18"/>
      <c r="G88" s="18"/>
      <c r="H88" s="18"/>
    </row>
    <row r="89" spans="1:8" ht="20.25" customHeight="1">
      <c r="A89" s="14"/>
      <c r="B89" s="3"/>
      <c r="E89" s="2" t="s">
        <v>83</v>
      </c>
      <c r="F89" s="10"/>
      <c r="H89" s="1" t="s">
        <v>854</v>
      </c>
    </row>
    <row r="90" spans="5:8" ht="20.25" customHeight="1">
      <c r="E90" s="14" t="s">
        <v>1131</v>
      </c>
      <c r="F90" s="673">
        <f>T(住所_住所)</f>
      </c>
      <c r="G90" s="673"/>
      <c r="H90" s="673"/>
    </row>
    <row r="91" spans="5:8" ht="20.25" customHeight="1">
      <c r="E91" s="14" t="s">
        <v>1132</v>
      </c>
      <c r="F91" s="652" t="str">
        <f>CONCATENATE(借受者名_漢字,"　",代表者名_漢字)</f>
        <v>　</v>
      </c>
      <c r="G91" s="652"/>
      <c r="H91" s="3" t="s">
        <v>1134</v>
      </c>
    </row>
    <row r="92" spans="5:8" ht="20.25" customHeight="1">
      <c r="E92" s="14" t="s">
        <v>319</v>
      </c>
      <c r="F92" s="652">
        <f>T(借受団体_担当者名)</f>
      </c>
      <c r="G92" s="652"/>
      <c r="H92" s="3" t="s">
        <v>1134</v>
      </c>
    </row>
    <row r="93" spans="1:8" ht="20.25" customHeight="1">
      <c r="A93" s="3"/>
      <c r="B93" s="3"/>
      <c r="C93" s="3"/>
      <c r="D93" s="3"/>
      <c r="E93" s="670" t="s">
        <v>320</v>
      </c>
      <c r="F93" s="670"/>
      <c r="G93" s="670"/>
      <c r="H93" s="670"/>
    </row>
    <row r="95" spans="1:8" ht="20.25" customHeight="1">
      <c r="A95" s="749" t="s">
        <v>607</v>
      </c>
      <c r="B95" s="749"/>
      <c r="C95" s="749"/>
      <c r="D95" s="749"/>
      <c r="E95" s="749"/>
      <c r="F95" s="749"/>
      <c r="G95" s="749"/>
      <c r="H95" s="749"/>
    </row>
    <row r="96" spans="1:8" ht="20.25" customHeight="1">
      <c r="A96" s="749"/>
      <c r="B96" s="749"/>
      <c r="C96" s="749"/>
      <c r="D96" s="749"/>
      <c r="E96" s="749"/>
      <c r="F96" s="749"/>
      <c r="G96" s="749"/>
      <c r="H96" s="749"/>
    </row>
    <row r="97" spans="1:8" ht="20.25" customHeight="1">
      <c r="A97" s="670" t="s">
        <v>1135</v>
      </c>
      <c r="B97" s="670"/>
      <c r="C97" s="670"/>
      <c r="D97" s="670"/>
      <c r="E97" s="670"/>
      <c r="F97" s="670"/>
      <c r="G97" s="670"/>
      <c r="H97" s="670"/>
    </row>
    <row r="98" spans="1:8" ht="20.25" customHeight="1">
      <c r="A98" s="1" t="s">
        <v>321</v>
      </c>
      <c r="C98" s="2"/>
      <c r="G98" s="2"/>
      <c r="H98" s="2"/>
    </row>
    <row r="99" spans="1:8" ht="20.25" customHeight="1">
      <c r="A99" s="1" t="s">
        <v>322</v>
      </c>
      <c r="C99" s="673">
        <f>T(借受団体_団体名)</f>
      </c>
      <c r="D99" s="673"/>
      <c r="E99" s="673"/>
      <c r="F99" s="673"/>
      <c r="G99" s="2"/>
      <c r="H99" s="2"/>
    </row>
    <row r="100" spans="1:8" ht="20.25" customHeight="1">
      <c r="A100" s="1" t="s">
        <v>760</v>
      </c>
      <c r="C100" s="673" t="str">
        <f>CONCATENATE(機械3_機械名,"　",機械3_銘柄,"　",機械3_形式)</f>
        <v>　　</v>
      </c>
      <c r="D100" s="673"/>
      <c r="E100" s="673"/>
      <c r="F100" s="673"/>
      <c r="G100" s="673"/>
      <c r="H100" s="673"/>
    </row>
    <row r="102" ht="20.25" customHeight="1">
      <c r="A102" s="1" t="s">
        <v>791</v>
      </c>
    </row>
    <row r="103" spans="1:8" ht="20.25" customHeight="1">
      <c r="A103" s="845">
        <f>T(機械3_選定理由)</f>
      </c>
      <c r="B103" s="845"/>
      <c r="C103" s="845"/>
      <c r="D103" s="845"/>
      <c r="E103" s="845"/>
      <c r="F103" s="845"/>
      <c r="G103" s="845"/>
      <c r="H103" s="845"/>
    </row>
    <row r="104" spans="1:8" ht="20.25" customHeight="1">
      <c r="A104" s="845"/>
      <c r="B104" s="845"/>
      <c r="C104" s="845"/>
      <c r="D104" s="845"/>
      <c r="E104" s="845"/>
      <c r="F104" s="845"/>
      <c r="G104" s="845"/>
      <c r="H104" s="845"/>
    </row>
    <row r="106" ht="20.25" customHeight="1">
      <c r="A106" s="1" t="s">
        <v>792</v>
      </c>
    </row>
    <row r="107" ht="20.25" customHeight="1">
      <c r="A107" s="1" t="s">
        <v>761</v>
      </c>
    </row>
    <row r="108" spans="1:8" ht="20.25" customHeight="1">
      <c r="A108" s="845">
        <f>T(機械3_情報活用内容_提供元と提供情報)</f>
      </c>
      <c r="B108" s="845"/>
      <c r="C108" s="845"/>
      <c r="D108" s="845"/>
      <c r="E108" s="845"/>
      <c r="F108" s="845"/>
      <c r="G108" s="845"/>
      <c r="H108" s="845"/>
    </row>
    <row r="109" spans="1:8" ht="20.25" customHeight="1">
      <c r="A109" s="845"/>
      <c r="B109" s="845"/>
      <c r="C109" s="845"/>
      <c r="D109" s="845"/>
      <c r="E109" s="845"/>
      <c r="F109" s="845"/>
      <c r="G109" s="845"/>
      <c r="H109" s="845"/>
    </row>
    <row r="110" ht="20.25" customHeight="1">
      <c r="A110" s="1" t="s">
        <v>762</v>
      </c>
    </row>
    <row r="111" spans="1:8" ht="20.25" customHeight="1">
      <c r="A111" s="845">
        <f>T(機械3_情報活用内容_具体的に活用した情報)</f>
      </c>
      <c r="B111" s="845"/>
      <c r="C111" s="845"/>
      <c r="D111" s="845"/>
      <c r="E111" s="845"/>
      <c r="F111" s="845"/>
      <c r="G111" s="845"/>
      <c r="H111" s="845"/>
    </row>
    <row r="112" spans="1:8" ht="20.25" customHeight="1">
      <c r="A112" s="845"/>
      <c r="B112" s="845"/>
      <c r="C112" s="845"/>
      <c r="D112" s="845"/>
      <c r="E112" s="845"/>
      <c r="F112" s="845"/>
      <c r="G112" s="845"/>
      <c r="H112" s="845"/>
    </row>
    <row r="113" ht="20.25" customHeight="1">
      <c r="A113" s="1" t="s">
        <v>763</v>
      </c>
    </row>
    <row r="114" spans="1:8" ht="20.25" customHeight="1">
      <c r="A114" s="845">
        <f>T(機械3_自主調査の概要_調査農家の概要)</f>
      </c>
      <c r="B114" s="845"/>
      <c r="C114" s="845"/>
      <c r="D114" s="845"/>
      <c r="E114" s="845"/>
      <c r="F114" s="845"/>
      <c r="G114" s="845"/>
      <c r="H114" s="845"/>
    </row>
    <row r="115" spans="1:8" ht="20.25" customHeight="1">
      <c r="A115" s="845"/>
      <c r="B115" s="845"/>
      <c r="C115" s="845"/>
      <c r="D115" s="845"/>
      <c r="E115" s="845"/>
      <c r="F115" s="845"/>
      <c r="G115" s="845"/>
      <c r="H115" s="845"/>
    </row>
    <row r="116" ht="20.25" customHeight="1">
      <c r="A116" s="1" t="s">
        <v>764</v>
      </c>
    </row>
    <row r="117" spans="1:8" ht="20.25" customHeight="1">
      <c r="A117" s="845">
        <f>T(機械3_自主調査の概要_調査機械の概要)</f>
      </c>
      <c r="B117" s="845"/>
      <c r="C117" s="845"/>
      <c r="D117" s="845"/>
      <c r="E117" s="845"/>
      <c r="F117" s="845"/>
      <c r="G117" s="845"/>
      <c r="H117" s="845"/>
    </row>
    <row r="118" spans="1:8" ht="20.25" customHeight="1">
      <c r="A118" s="845"/>
      <c r="B118" s="845"/>
      <c r="C118" s="845"/>
      <c r="D118" s="845"/>
      <c r="E118" s="845"/>
      <c r="F118" s="845"/>
      <c r="G118" s="845"/>
      <c r="H118" s="845"/>
    </row>
    <row r="119" spans="1:8" ht="20.25" customHeight="1">
      <c r="A119" s="2"/>
      <c r="B119" s="2"/>
      <c r="C119" s="2"/>
      <c r="G119" s="2"/>
      <c r="H119" s="2"/>
    </row>
    <row r="120" spans="1:8" ht="20.25" customHeight="1">
      <c r="A120" s="2" t="s">
        <v>765</v>
      </c>
      <c r="B120" s="2"/>
      <c r="C120" s="2"/>
      <c r="G120" s="2"/>
      <c r="H120" s="2"/>
    </row>
    <row r="121" spans="1:8" ht="20.25" customHeight="1">
      <c r="A121" s="845">
        <f>T(機械3_業者との価格交渉経過)</f>
      </c>
      <c r="B121" s="845"/>
      <c r="C121" s="845"/>
      <c r="D121" s="845"/>
      <c r="E121" s="845"/>
      <c r="F121" s="845"/>
      <c r="G121" s="845"/>
      <c r="H121" s="845"/>
    </row>
    <row r="122" spans="1:8" ht="20.25" customHeight="1">
      <c r="A122" s="845"/>
      <c r="B122" s="845"/>
      <c r="C122" s="845"/>
      <c r="D122" s="845"/>
      <c r="E122" s="845"/>
      <c r="F122" s="845"/>
      <c r="G122" s="845"/>
      <c r="H122" s="845"/>
    </row>
    <row r="123" spans="1:8" ht="20.25" customHeight="1">
      <c r="A123" s="845"/>
      <c r="B123" s="845"/>
      <c r="C123" s="845"/>
      <c r="D123" s="845"/>
      <c r="E123" s="845"/>
      <c r="F123" s="845"/>
      <c r="G123" s="845"/>
      <c r="H123" s="845"/>
    </row>
    <row r="124" spans="1:8" ht="20.25" customHeight="1">
      <c r="A124" s="845"/>
      <c r="B124" s="845"/>
      <c r="C124" s="845"/>
      <c r="D124" s="845"/>
      <c r="E124" s="845"/>
      <c r="F124" s="845"/>
      <c r="G124" s="845"/>
      <c r="H124" s="845"/>
    </row>
    <row r="125" spans="1:8" ht="20.25" customHeight="1">
      <c r="A125" s="845"/>
      <c r="B125" s="845"/>
      <c r="C125" s="845"/>
      <c r="D125" s="845"/>
      <c r="E125" s="845"/>
      <c r="F125" s="845"/>
      <c r="G125" s="845"/>
      <c r="H125" s="845"/>
    </row>
    <row r="126" ht="20.25" customHeight="1">
      <c r="A126" s="1" t="s">
        <v>326</v>
      </c>
    </row>
    <row r="127" spans="1:8" ht="20.25" customHeight="1">
      <c r="A127" s="1" t="s">
        <v>493</v>
      </c>
      <c r="F127" s="859"/>
      <c r="G127" s="859"/>
      <c r="H127" s="671"/>
    </row>
    <row r="128" spans="3:6" ht="20.25" customHeight="1">
      <c r="C128" s="3"/>
      <c r="D128" s="3"/>
      <c r="E128" s="3"/>
      <c r="F128" s="16"/>
    </row>
    <row r="129" spans="1:8" ht="20.25" customHeight="1">
      <c r="A129" s="861" t="s">
        <v>606</v>
      </c>
      <c r="B129" s="861"/>
      <c r="C129" s="861"/>
      <c r="D129" s="861"/>
      <c r="E129" s="861"/>
      <c r="F129" s="861"/>
      <c r="G129" s="861"/>
      <c r="H129" s="861"/>
    </row>
    <row r="130" spans="1:8" ht="20.25" customHeight="1">
      <c r="A130" s="18"/>
      <c r="B130" s="18"/>
      <c r="C130" s="18"/>
      <c r="D130" s="18"/>
      <c r="E130" s="18"/>
      <c r="F130" s="18"/>
      <c r="G130" s="18"/>
      <c r="H130" s="18"/>
    </row>
    <row r="131" spans="1:8" ht="20.25" customHeight="1">
      <c r="A131" s="14"/>
      <c r="B131" s="3"/>
      <c r="E131" s="2" t="s">
        <v>83</v>
      </c>
      <c r="F131" s="10"/>
      <c r="H131" s="1" t="s">
        <v>854</v>
      </c>
    </row>
    <row r="132" spans="5:8" ht="20.25" customHeight="1">
      <c r="E132" s="14" t="s">
        <v>1131</v>
      </c>
      <c r="F132" s="673">
        <f>T(住所_住所)</f>
      </c>
      <c r="G132" s="673"/>
      <c r="H132" s="673"/>
    </row>
    <row r="133" spans="5:8" ht="20.25" customHeight="1">
      <c r="E133" s="14" t="s">
        <v>1132</v>
      </c>
      <c r="F133" s="652" t="str">
        <f>CONCATENATE(借受者名_漢字,"　",代表者名_漢字)</f>
        <v>　</v>
      </c>
      <c r="G133" s="652"/>
      <c r="H133" s="3" t="s">
        <v>1134</v>
      </c>
    </row>
    <row r="134" spans="5:8" ht="20.25" customHeight="1">
      <c r="E134" s="14" t="s">
        <v>319</v>
      </c>
      <c r="F134" s="652">
        <f>T(借受団体_担当者名)</f>
      </c>
      <c r="G134" s="652"/>
      <c r="H134" s="3" t="s">
        <v>1134</v>
      </c>
    </row>
    <row r="135" spans="1:8" ht="20.25" customHeight="1">
      <c r="A135" s="3"/>
      <c r="B135" s="3"/>
      <c r="C135" s="3"/>
      <c r="D135" s="3"/>
      <c r="E135" s="670" t="s">
        <v>320</v>
      </c>
      <c r="F135" s="670"/>
      <c r="G135" s="670"/>
      <c r="H135" s="670"/>
    </row>
    <row r="137" spans="1:8" ht="20.25" customHeight="1">
      <c r="A137" s="749" t="s">
        <v>607</v>
      </c>
      <c r="B137" s="749"/>
      <c r="C137" s="749"/>
      <c r="D137" s="749"/>
      <c r="E137" s="749"/>
      <c r="F137" s="749"/>
      <c r="G137" s="749"/>
      <c r="H137" s="749"/>
    </row>
    <row r="138" spans="1:8" ht="20.25" customHeight="1">
      <c r="A138" s="749"/>
      <c r="B138" s="749"/>
      <c r="C138" s="749"/>
      <c r="D138" s="749"/>
      <c r="E138" s="749"/>
      <c r="F138" s="749"/>
      <c r="G138" s="749"/>
      <c r="H138" s="749"/>
    </row>
    <row r="139" spans="1:8" ht="20.25" customHeight="1">
      <c r="A139" s="670" t="s">
        <v>1135</v>
      </c>
      <c r="B139" s="670"/>
      <c r="C139" s="670"/>
      <c r="D139" s="670"/>
      <c r="E139" s="670"/>
      <c r="F139" s="670"/>
      <c r="G139" s="670"/>
      <c r="H139" s="670"/>
    </row>
    <row r="140" spans="1:8" ht="20.25" customHeight="1">
      <c r="A140" s="1" t="s">
        <v>321</v>
      </c>
      <c r="C140" s="2"/>
      <c r="G140" s="2"/>
      <c r="H140" s="2"/>
    </row>
    <row r="141" spans="1:8" ht="20.25" customHeight="1">
      <c r="A141" s="1" t="s">
        <v>322</v>
      </c>
      <c r="C141" s="673">
        <f>T(借受団体_団体名)</f>
      </c>
      <c r="D141" s="673"/>
      <c r="E141" s="673"/>
      <c r="F141" s="673"/>
      <c r="G141" s="2"/>
      <c r="H141" s="2"/>
    </row>
    <row r="142" spans="1:8" ht="20.25" customHeight="1">
      <c r="A142" s="1" t="s">
        <v>760</v>
      </c>
      <c r="C142" s="673" t="str">
        <f>CONCATENATE(機械4_機械名,"　",機械4_銘柄,"　",機械4_形式)</f>
        <v>　　</v>
      </c>
      <c r="D142" s="673"/>
      <c r="E142" s="673"/>
      <c r="F142" s="673"/>
      <c r="G142" s="673"/>
      <c r="H142" s="673"/>
    </row>
    <row r="144" ht="20.25" customHeight="1">
      <c r="A144" s="1" t="s">
        <v>791</v>
      </c>
    </row>
    <row r="145" spans="1:8" ht="20.25" customHeight="1">
      <c r="A145" s="845">
        <f>T(機械4_選定理由)</f>
      </c>
      <c r="B145" s="845"/>
      <c r="C145" s="845"/>
      <c r="D145" s="845"/>
      <c r="E145" s="845"/>
      <c r="F145" s="845"/>
      <c r="G145" s="845"/>
      <c r="H145" s="845"/>
    </row>
    <row r="146" spans="1:8" ht="20.25" customHeight="1">
      <c r="A146" s="845"/>
      <c r="B146" s="845"/>
      <c r="C146" s="845"/>
      <c r="D146" s="845"/>
      <c r="E146" s="845"/>
      <c r="F146" s="845"/>
      <c r="G146" s="845"/>
      <c r="H146" s="845"/>
    </row>
    <row r="148" ht="20.25" customHeight="1">
      <c r="A148" s="1" t="s">
        <v>792</v>
      </c>
    </row>
    <row r="149" ht="20.25" customHeight="1">
      <c r="A149" s="1" t="s">
        <v>761</v>
      </c>
    </row>
    <row r="150" spans="1:8" ht="20.25" customHeight="1">
      <c r="A150" s="845">
        <f>T(機械4_情報活用内容_提供元と提供情報)</f>
      </c>
      <c r="B150" s="845"/>
      <c r="C150" s="845"/>
      <c r="D150" s="845"/>
      <c r="E150" s="845"/>
      <c r="F150" s="845"/>
      <c r="G150" s="845"/>
      <c r="H150" s="845"/>
    </row>
    <row r="151" spans="1:8" ht="20.25" customHeight="1">
      <c r="A151" s="845"/>
      <c r="B151" s="845"/>
      <c r="C151" s="845"/>
      <c r="D151" s="845"/>
      <c r="E151" s="845"/>
      <c r="F151" s="845"/>
      <c r="G151" s="845"/>
      <c r="H151" s="845"/>
    </row>
    <row r="152" ht="20.25" customHeight="1">
      <c r="A152" s="1" t="s">
        <v>762</v>
      </c>
    </row>
    <row r="153" spans="1:8" ht="20.25" customHeight="1">
      <c r="A153" s="845">
        <f>T(機械4_情報活用内容_具体的に活用した情報)</f>
      </c>
      <c r="B153" s="845"/>
      <c r="C153" s="845"/>
      <c r="D153" s="845"/>
      <c r="E153" s="845"/>
      <c r="F153" s="845"/>
      <c r="G153" s="845"/>
      <c r="H153" s="845"/>
    </row>
    <row r="154" spans="1:8" ht="20.25" customHeight="1">
      <c r="A154" s="845"/>
      <c r="B154" s="845"/>
      <c r="C154" s="845"/>
      <c r="D154" s="845"/>
      <c r="E154" s="845"/>
      <c r="F154" s="845"/>
      <c r="G154" s="845"/>
      <c r="H154" s="845"/>
    </row>
    <row r="155" ht="20.25" customHeight="1">
      <c r="A155" s="1" t="s">
        <v>763</v>
      </c>
    </row>
    <row r="156" spans="1:8" ht="20.25" customHeight="1">
      <c r="A156" s="845">
        <f>T(機械4_自主調査の概要_調査農家の概要)</f>
      </c>
      <c r="B156" s="845"/>
      <c r="C156" s="845"/>
      <c r="D156" s="845"/>
      <c r="E156" s="845"/>
      <c r="F156" s="845"/>
      <c r="G156" s="845"/>
      <c r="H156" s="845"/>
    </row>
    <row r="157" spans="1:8" ht="20.25" customHeight="1">
      <c r="A157" s="845"/>
      <c r="B157" s="845"/>
      <c r="C157" s="845"/>
      <c r="D157" s="845"/>
      <c r="E157" s="845"/>
      <c r="F157" s="845"/>
      <c r="G157" s="845"/>
      <c r="H157" s="845"/>
    </row>
    <row r="158" ht="20.25" customHeight="1">
      <c r="A158" s="1" t="s">
        <v>764</v>
      </c>
    </row>
    <row r="159" spans="1:8" ht="20.25" customHeight="1">
      <c r="A159" s="845">
        <f>T(機械4_自主調査の概要_調査機械の概要)</f>
      </c>
      <c r="B159" s="845"/>
      <c r="C159" s="845"/>
      <c r="D159" s="845"/>
      <c r="E159" s="845"/>
      <c r="F159" s="845"/>
      <c r="G159" s="845"/>
      <c r="H159" s="845"/>
    </row>
    <row r="160" spans="1:8" ht="20.25" customHeight="1">
      <c r="A160" s="845"/>
      <c r="B160" s="845"/>
      <c r="C160" s="845"/>
      <c r="D160" s="845"/>
      <c r="E160" s="845"/>
      <c r="F160" s="845"/>
      <c r="G160" s="845"/>
      <c r="H160" s="845"/>
    </row>
    <row r="161" spans="1:8" ht="20.25" customHeight="1">
      <c r="A161" s="2"/>
      <c r="B161" s="2"/>
      <c r="C161" s="2"/>
      <c r="G161" s="2"/>
      <c r="H161" s="2"/>
    </row>
    <row r="162" spans="1:8" ht="20.25" customHeight="1">
      <c r="A162" s="2" t="s">
        <v>765</v>
      </c>
      <c r="B162" s="2"/>
      <c r="C162" s="2"/>
      <c r="G162" s="2"/>
      <c r="H162" s="2"/>
    </row>
    <row r="163" spans="1:8" ht="20.25" customHeight="1">
      <c r="A163" s="845">
        <f>T(機械4_業者との価格交渉経過)</f>
      </c>
      <c r="B163" s="845"/>
      <c r="C163" s="845"/>
      <c r="D163" s="845"/>
      <c r="E163" s="845"/>
      <c r="F163" s="845"/>
      <c r="G163" s="845"/>
      <c r="H163" s="845"/>
    </row>
    <row r="164" spans="1:8" ht="20.25" customHeight="1">
      <c r="A164" s="845"/>
      <c r="B164" s="845"/>
      <c r="C164" s="845"/>
      <c r="D164" s="845"/>
      <c r="E164" s="845"/>
      <c r="F164" s="845"/>
      <c r="G164" s="845"/>
      <c r="H164" s="845"/>
    </row>
    <row r="165" spans="1:8" ht="20.25" customHeight="1">
      <c r="A165" s="845"/>
      <c r="B165" s="845"/>
      <c r="C165" s="845"/>
      <c r="D165" s="845"/>
      <c r="E165" s="845"/>
      <c r="F165" s="845"/>
      <c r="G165" s="845"/>
      <c r="H165" s="845"/>
    </row>
    <row r="166" spans="1:8" ht="20.25" customHeight="1">
      <c r="A166" s="845"/>
      <c r="B166" s="845"/>
      <c r="C166" s="845"/>
      <c r="D166" s="845"/>
      <c r="E166" s="845"/>
      <c r="F166" s="845"/>
      <c r="G166" s="845"/>
      <c r="H166" s="845"/>
    </row>
    <row r="167" spans="1:8" ht="20.25" customHeight="1">
      <c r="A167" s="845"/>
      <c r="B167" s="845"/>
      <c r="C167" s="845"/>
      <c r="D167" s="845"/>
      <c r="E167" s="845"/>
      <c r="F167" s="845"/>
      <c r="G167" s="845"/>
      <c r="H167" s="845"/>
    </row>
    <row r="168" ht="20.25" customHeight="1">
      <c r="A168" s="1" t="s">
        <v>326</v>
      </c>
    </row>
  </sheetData>
  <sheetProtection password="C704" sheet="1" selectLockedCells="1" selectUnlockedCells="1"/>
  <mergeCells count="64">
    <mergeCell ref="A145:H146"/>
    <mergeCell ref="A150:H151"/>
    <mergeCell ref="A153:H154"/>
    <mergeCell ref="A156:H157"/>
    <mergeCell ref="F127:H127"/>
    <mergeCell ref="A129:H129"/>
    <mergeCell ref="A159:H160"/>
    <mergeCell ref="A163:H167"/>
    <mergeCell ref="F134:G134"/>
    <mergeCell ref="E135:H135"/>
    <mergeCell ref="A137:H138"/>
    <mergeCell ref="A139:H139"/>
    <mergeCell ref="C141:F141"/>
    <mergeCell ref="C142:H142"/>
    <mergeCell ref="F132:H132"/>
    <mergeCell ref="F133:G133"/>
    <mergeCell ref="C99:F99"/>
    <mergeCell ref="C100:H100"/>
    <mergeCell ref="A103:H104"/>
    <mergeCell ref="A108:H109"/>
    <mergeCell ref="A111:H112"/>
    <mergeCell ref="A114:H115"/>
    <mergeCell ref="A117:H118"/>
    <mergeCell ref="A121:H125"/>
    <mergeCell ref="F90:H90"/>
    <mergeCell ref="F91:G91"/>
    <mergeCell ref="F92:G92"/>
    <mergeCell ref="E93:H93"/>
    <mergeCell ref="C57:F57"/>
    <mergeCell ref="C58:H58"/>
    <mergeCell ref="A95:H96"/>
    <mergeCell ref="A97:H97"/>
    <mergeCell ref="A69:H70"/>
    <mergeCell ref="A72:H73"/>
    <mergeCell ref="A75:H76"/>
    <mergeCell ref="A79:H83"/>
    <mergeCell ref="F85:H85"/>
    <mergeCell ref="A87:H87"/>
    <mergeCell ref="A61:H62"/>
    <mergeCell ref="A66:H67"/>
    <mergeCell ref="F43:H43"/>
    <mergeCell ref="A45:H45"/>
    <mergeCell ref="F48:H48"/>
    <mergeCell ref="F49:G49"/>
    <mergeCell ref="F50:G50"/>
    <mergeCell ref="E51:H51"/>
    <mergeCell ref="A53:H54"/>
    <mergeCell ref="A55:H55"/>
    <mergeCell ref="A19:H20"/>
    <mergeCell ref="F8:G8"/>
    <mergeCell ref="E9:H9"/>
    <mergeCell ref="A11:H12"/>
    <mergeCell ref="A13:H13"/>
    <mergeCell ref="C15:F15"/>
    <mergeCell ref="C16:H16"/>
    <mergeCell ref="A37:H41"/>
    <mergeCell ref="A24:H25"/>
    <mergeCell ref="A27:H28"/>
    <mergeCell ref="A30:H31"/>
    <mergeCell ref="A33:H34"/>
    <mergeCell ref="F1:H1"/>
    <mergeCell ref="A3:H3"/>
    <mergeCell ref="F6:H6"/>
    <mergeCell ref="F7:G7"/>
  </mergeCells>
  <printOptions horizontalCentered="1"/>
  <pageMargins left="0.7874015748031497" right="0.7874015748031497" top="0.8661417322834646" bottom="0.8661417322834646" header="0.5118110236220472" footer="0.5118110236220472"/>
  <pageSetup horizontalDpi="300" verticalDpi="300" orientation="portrait" paperSize="9" scale="88" r:id="rId1"/>
  <rowBreaks count="3" manualBreakCount="3">
    <brk id="42" max="255" man="1"/>
    <brk id="84" max="255" man="1"/>
    <brk id="126" max="255" man="1"/>
  </rowBreaks>
</worksheet>
</file>

<file path=xl/worksheets/sheet14.xml><?xml version="1.0" encoding="utf-8"?>
<worksheet xmlns="http://schemas.openxmlformats.org/spreadsheetml/2006/main" xmlns:r="http://schemas.openxmlformats.org/officeDocument/2006/relationships">
  <sheetPr codeName="shtYoshiki80"/>
  <dimension ref="A1:X43"/>
  <sheetViews>
    <sheetView view="pageBreakPreview" zoomScaleSheetLayoutView="100" zoomScalePageLayoutView="0" workbookViewId="0" topLeftCell="A1">
      <selection activeCell="A1" sqref="A1"/>
    </sheetView>
  </sheetViews>
  <sheetFormatPr defaultColWidth="4.00390625" defaultRowHeight="26.25" customHeight="1"/>
  <cols>
    <col min="1" max="16384" width="4.00390625" style="1" customWidth="1"/>
  </cols>
  <sheetData>
    <row r="1" ht="26.25" customHeight="1">
      <c r="A1" s="1" t="s">
        <v>855</v>
      </c>
    </row>
    <row r="2" spans="1:24" ht="31.5" customHeight="1">
      <c r="A2" s="901" t="s">
        <v>219</v>
      </c>
      <c r="B2" s="901"/>
      <c r="C2" s="901"/>
      <c r="D2" s="901" t="b">
        <v>1</v>
      </c>
      <c r="E2" s="901"/>
      <c r="F2" s="901"/>
      <c r="G2" s="901"/>
      <c r="H2" s="901"/>
      <c r="I2" s="901"/>
      <c r="J2" s="901"/>
      <c r="K2" s="901"/>
      <c r="L2" s="901"/>
      <c r="M2" s="901"/>
      <c r="N2" s="901"/>
      <c r="O2" s="901"/>
      <c r="P2" s="901"/>
      <c r="Q2" s="901"/>
      <c r="R2" s="901"/>
      <c r="S2" s="901"/>
      <c r="T2" s="901"/>
      <c r="U2" s="901"/>
      <c r="V2" s="901"/>
      <c r="W2" s="901"/>
      <c r="X2" s="901"/>
    </row>
    <row r="3" ht="11.25" customHeight="1"/>
    <row r="4" ht="21.75" customHeight="1">
      <c r="A4" s="1" t="s">
        <v>303</v>
      </c>
    </row>
    <row r="5" ht="21.75" customHeight="1">
      <c r="A5" s="1" t="s">
        <v>690</v>
      </c>
    </row>
    <row r="6" ht="12" customHeight="1"/>
    <row r="7" spans="1:24" s="20" customFormat="1" ht="31.5" customHeight="1">
      <c r="A7" s="906" t="s">
        <v>1216</v>
      </c>
      <c r="B7" s="906"/>
      <c r="C7" s="906"/>
      <c r="D7" s="906"/>
      <c r="E7" s="906"/>
      <c r="F7" s="906"/>
      <c r="G7" s="906"/>
      <c r="H7" s="906"/>
      <c r="I7" s="906"/>
      <c r="J7" s="906"/>
      <c r="K7" s="906"/>
      <c r="L7" s="906"/>
      <c r="M7" s="906"/>
      <c r="N7" s="906"/>
      <c r="O7" s="906"/>
      <c r="P7" s="906"/>
      <c r="Q7" s="906"/>
      <c r="R7" s="906"/>
      <c r="S7" s="906"/>
      <c r="T7" s="906"/>
      <c r="U7" s="906"/>
      <c r="V7" s="906"/>
      <c r="W7" s="906"/>
      <c r="X7" s="906"/>
    </row>
    <row r="8" spans="1:24" s="20" customFormat="1" ht="20.25" customHeight="1">
      <c r="A8" s="906" t="s">
        <v>691</v>
      </c>
      <c r="B8" s="906"/>
      <c r="C8" s="906"/>
      <c r="D8" s="906"/>
      <c r="E8" s="906"/>
      <c r="F8" s="906"/>
      <c r="G8" s="906"/>
      <c r="H8" s="906"/>
      <c r="I8" s="906"/>
      <c r="J8" s="906"/>
      <c r="K8" s="906"/>
      <c r="L8" s="906"/>
      <c r="M8" s="906"/>
      <c r="N8" s="906"/>
      <c r="O8" s="906"/>
      <c r="P8" s="906"/>
      <c r="Q8" s="906"/>
      <c r="R8" s="906"/>
      <c r="S8" s="906"/>
      <c r="T8" s="906"/>
      <c r="U8" s="906"/>
      <c r="V8" s="906"/>
      <c r="W8" s="906"/>
      <c r="X8" s="906"/>
    </row>
    <row r="9" spans="1:24" s="20" customFormat="1" ht="33.75" customHeight="1">
      <c r="A9" s="906" t="s">
        <v>750</v>
      </c>
      <c r="B9" s="906"/>
      <c r="C9" s="906"/>
      <c r="D9" s="906"/>
      <c r="E9" s="906"/>
      <c r="F9" s="906"/>
      <c r="G9" s="906"/>
      <c r="H9" s="906"/>
      <c r="I9" s="906"/>
      <c r="J9" s="906"/>
      <c r="K9" s="906"/>
      <c r="L9" s="906"/>
      <c r="M9" s="906"/>
      <c r="N9" s="906"/>
      <c r="O9" s="906"/>
      <c r="P9" s="906"/>
      <c r="Q9" s="906"/>
      <c r="R9" s="906"/>
      <c r="S9" s="906"/>
      <c r="T9" s="906"/>
      <c r="U9" s="906"/>
      <c r="V9" s="906"/>
      <c r="W9" s="906"/>
      <c r="X9" s="906"/>
    </row>
    <row r="10" spans="1:12" ht="20.25" customHeight="1">
      <c r="A10" s="655">
        <f>申請月日</f>
        <v>0</v>
      </c>
      <c r="B10" s="655"/>
      <c r="C10" s="655"/>
      <c r="D10" s="655"/>
      <c r="E10" s="655"/>
      <c r="F10" s="655"/>
      <c r="G10" s="655"/>
      <c r="L10" s="1" t="s">
        <v>751</v>
      </c>
    </row>
    <row r="11" spans="12:24" ht="20.25" customHeight="1">
      <c r="L11" s="671" t="s">
        <v>1131</v>
      </c>
      <c r="M11" s="671"/>
      <c r="N11" s="671"/>
      <c r="O11" s="673">
        <f>T(住所_住所)</f>
      </c>
      <c r="P11" s="673"/>
      <c r="Q11" s="673"/>
      <c r="R11" s="673"/>
      <c r="S11" s="673"/>
      <c r="T11" s="673"/>
      <c r="U11" s="673"/>
      <c r="V11" s="673"/>
      <c r="W11" s="673"/>
      <c r="X11" s="673"/>
    </row>
    <row r="12" spans="12:24" ht="20.25" customHeight="1">
      <c r="L12" s="671" t="s">
        <v>1125</v>
      </c>
      <c r="M12" s="671"/>
      <c r="N12" s="671"/>
      <c r="O12" s="671"/>
      <c r="P12" s="673">
        <f>T(借受者名_漢字)</f>
      </c>
      <c r="Q12" s="673"/>
      <c r="R12" s="673"/>
      <c r="S12" s="673"/>
      <c r="T12" s="673"/>
      <c r="U12" s="673"/>
      <c r="V12" s="673"/>
      <c r="W12" s="673"/>
      <c r="X12" s="670" t="s">
        <v>1134</v>
      </c>
    </row>
    <row r="13" spans="12:24" ht="20.25" customHeight="1">
      <c r="L13" s="671" t="s">
        <v>1126</v>
      </c>
      <c r="M13" s="671"/>
      <c r="N13" s="671"/>
      <c r="O13" s="671"/>
      <c r="P13" s="673">
        <f>T(代表者名_漢字)</f>
      </c>
      <c r="Q13" s="673"/>
      <c r="R13" s="673"/>
      <c r="S13" s="673"/>
      <c r="T13" s="673"/>
      <c r="U13" s="673"/>
      <c r="V13" s="673"/>
      <c r="W13" s="673"/>
      <c r="X13" s="670"/>
    </row>
    <row r="14" spans="6:12" ht="35.25" customHeight="1">
      <c r="F14" s="21"/>
      <c r="G14" s="21"/>
      <c r="H14" s="22"/>
      <c r="L14" s="1" t="s">
        <v>1135</v>
      </c>
    </row>
    <row r="15" spans="1:8" s="8" customFormat="1" ht="18" customHeight="1">
      <c r="A15" s="8" t="s">
        <v>1127</v>
      </c>
      <c r="F15" s="96"/>
      <c r="G15" s="96"/>
      <c r="H15" s="96"/>
    </row>
    <row r="16" spans="1:21" s="8" customFormat="1" ht="18" customHeight="1">
      <c r="A16" s="900" t="s">
        <v>1123</v>
      </c>
      <c r="B16" s="892"/>
      <c r="C16" s="892"/>
      <c r="D16" s="892"/>
      <c r="E16" s="892"/>
      <c r="F16" s="892"/>
      <c r="G16" s="892"/>
      <c r="H16" s="892"/>
      <c r="I16" s="892"/>
      <c r="J16" s="892"/>
      <c r="K16" s="892"/>
      <c r="L16" s="892"/>
      <c r="M16" s="892"/>
      <c r="N16" s="892"/>
      <c r="O16" s="892"/>
      <c r="P16" s="892" t="s">
        <v>1124</v>
      </c>
      <c r="Q16" s="892"/>
      <c r="R16" s="892" t="s">
        <v>706</v>
      </c>
      <c r="S16" s="892"/>
      <c r="T16" s="892" t="s">
        <v>707</v>
      </c>
      <c r="U16" s="893"/>
    </row>
    <row r="17" spans="1:21" s="8" customFormat="1" ht="18" customHeight="1">
      <c r="A17" s="904" t="s">
        <v>1104</v>
      </c>
      <c r="B17" s="879"/>
      <c r="C17" s="879"/>
      <c r="D17" s="879"/>
      <c r="E17" s="879"/>
      <c r="F17" s="879"/>
      <c r="G17" s="879"/>
      <c r="H17" s="879"/>
      <c r="I17" s="879"/>
      <c r="J17" s="879"/>
      <c r="K17" s="879"/>
      <c r="L17" s="879"/>
      <c r="M17" s="879"/>
      <c r="N17" s="879"/>
      <c r="O17" s="879"/>
      <c r="P17" s="880" t="str">
        <f>IF(COUNTIF(配合飼料価格安定制度への加入状況,"*１．*"),"○","")</f>
        <v>○</v>
      </c>
      <c r="Q17" s="880"/>
      <c r="R17" s="880" t="s">
        <v>856</v>
      </c>
      <c r="S17" s="880"/>
      <c r="T17" s="880" t="s">
        <v>856</v>
      </c>
      <c r="U17" s="881"/>
    </row>
    <row r="18" spans="1:21" s="8" customFormat="1" ht="18" customHeight="1">
      <c r="A18" s="904" t="s">
        <v>1105</v>
      </c>
      <c r="B18" s="879"/>
      <c r="C18" s="879"/>
      <c r="D18" s="879"/>
      <c r="E18" s="879"/>
      <c r="F18" s="879"/>
      <c r="G18" s="879"/>
      <c r="H18" s="879"/>
      <c r="I18" s="879"/>
      <c r="J18" s="879"/>
      <c r="K18" s="879"/>
      <c r="L18" s="879"/>
      <c r="M18" s="879"/>
      <c r="N18" s="879"/>
      <c r="O18" s="879"/>
      <c r="P18" s="880">
        <f>IF(COUNTIF(配合飼料価格安定制度への加入状況,"*２．*"),"○","")</f>
      </c>
      <c r="Q18" s="880"/>
      <c r="R18" s="880">
        <f>IF(加入の意思の有無="","",加入の意思の有無)</f>
      </c>
      <c r="S18" s="880"/>
      <c r="T18" s="880">
        <f>IF(加入予定月=0,"",加入予定月)</f>
      </c>
      <c r="U18" s="881"/>
    </row>
    <row r="19" spans="1:21" s="8" customFormat="1" ht="18" customHeight="1">
      <c r="A19" s="904" t="s">
        <v>1029</v>
      </c>
      <c r="B19" s="879"/>
      <c r="C19" s="879"/>
      <c r="D19" s="879"/>
      <c r="E19" s="879"/>
      <c r="F19" s="879"/>
      <c r="G19" s="879"/>
      <c r="H19" s="879"/>
      <c r="I19" s="879"/>
      <c r="J19" s="879"/>
      <c r="K19" s="879"/>
      <c r="L19" s="879"/>
      <c r="M19" s="879"/>
      <c r="N19" s="879"/>
      <c r="O19" s="879"/>
      <c r="P19" s="880">
        <f>IF(COUNTIF(配合飼料価格安定制度への加入状況,"*３．*"),"○","")</f>
      </c>
      <c r="Q19" s="880"/>
      <c r="R19" s="781"/>
      <c r="S19" s="781"/>
      <c r="T19" s="781"/>
      <c r="U19" s="840"/>
    </row>
    <row r="20" spans="1:21" s="8" customFormat="1" ht="18" customHeight="1">
      <c r="A20" s="905" t="s">
        <v>1107</v>
      </c>
      <c r="B20" s="885"/>
      <c r="C20" s="885"/>
      <c r="D20" s="885"/>
      <c r="E20" s="885"/>
      <c r="F20" s="885"/>
      <c r="G20" s="885"/>
      <c r="H20" s="885"/>
      <c r="I20" s="885"/>
      <c r="J20" s="885"/>
      <c r="K20" s="885"/>
      <c r="L20" s="885"/>
      <c r="M20" s="885"/>
      <c r="N20" s="885"/>
      <c r="O20" s="885"/>
      <c r="P20" s="873">
        <f>IF(COUNTIF(配合飼料価格安定制度への加入状況,"*４．*"),"○","")</f>
      </c>
      <c r="Q20" s="873"/>
      <c r="R20" s="826"/>
      <c r="S20" s="826"/>
      <c r="T20" s="826"/>
      <c r="U20" s="903"/>
    </row>
    <row r="21" spans="1:24" s="8" customFormat="1" ht="18" customHeight="1">
      <c r="A21" s="902"/>
      <c r="B21" s="902"/>
      <c r="C21" s="902"/>
      <c r="D21" s="902"/>
      <c r="E21" s="902"/>
      <c r="F21" s="902"/>
      <c r="G21" s="902"/>
      <c r="H21" s="902"/>
      <c r="I21" s="902"/>
      <c r="J21" s="902"/>
      <c r="K21" s="902"/>
      <c r="L21" s="902"/>
      <c r="M21" s="902"/>
      <c r="N21" s="902"/>
      <c r="O21" s="902"/>
      <c r="P21" s="902"/>
      <c r="Q21" s="902"/>
      <c r="R21" s="902"/>
      <c r="S21" s="902"/>
      <c r="T21" s="902"/>
      <c r="U21" s="902"/>
      <c r="V21" s="902"/>
      <c r="W21" s="902"/>
      <c r="X21" s="902"/>
    </row>
    <row r="22" s="8" customFormat="1" ht="16.5" customHeight="1">
      <c r="A22" s="8" t="s">
        <v>752</v>
      </c>
    </row>
    <row r="23" spans="1:24" s="8" customFormat="1" ht="16.5" customHeight="1">
      <c r="A23" s="900"/>
      <c r="B23" s="892"/>
      <c r="C23" s="892"/>
      <c r="D23" s="892"/>
      <c r="E23" s="892" t="s">
        <v>754</v>
      </c>
      <c r="F23" s="892"/>
      <c r="G23" s="892"/>
      <c r="H23" s="892"/>
      <c r="I23" s="892"/>
      <c r="J23" s="892"/>
      <c r="K23" s="892"/>
      <c r="L23" s="892"/>
      <c r="M23" s="892"/>
      <c r="N23" s="892"/>
      <c r="O23" s="892" t="s">
        <v>93</v>
      </c>
      <c r="P23" s="892"/>
      <c r="Q23" s="892"/>
      <c r="R23" s="892"/>
      <c r="S23" s="892"/>
      <c r="T23" s="892"/>
      <c r="U23" s="892"/>
      <c r="V23" s="892"/>
      <c r="W23" s="892"/>
      <c r="X23" s="893"/>
    </row>
    <row r="24" spans="1:24" s="8" customFormat="1" ht="16.5" customHeight="1">
      <c r="A24" s="894" t="s">
        <v>1131</v>
      </c>
      <c r="B24" s="880"/>
      <c r="C24" s="880"/>
      <c r="D24" s="880"/>
      <c r="E24" s="889">
        <f>IF(個人経営者_住所="","",個人経営者_住所)</f>
      </c>
      <c r="F24" s="890"/>
      <c r="G24" s="890"/>
      <c r="H24" s="890"/>
      <c r="I24" s="890"/>
      <c r="J24" s="890"/>
      <c r="K24" s="890"/>
      <c r="L24" s="890"/>
      <c r="M24" s="890"/>
      <c r="N24" s="895"/>
      <c r="O24" s="889">
        <f>IF(法人経営者_住所="","",法人経営者_住所)</f>
      </c>
      <c r="P24" s="890"/>
      <c r="Q24" s="890"/>
      <c r="R24" s="890"/>
      <c r="S24" s="890"/>
      <c r="T24" s="890"/>
      <c r="U24" s="890"/>
      <c r="V24" s="890"/>
      <c r="W24" s="890"/>
      <c r="X24" s="891"/>
    </row>
    <row r="25" spans="1:24" s="8" customFormat="1" ht="16.5" customHeight="1">
      <c r="A25" s="894" t="s">
        <v>755</v>
      </c>
      <c r="B25" s="880"/>
      <c r="C25" s="880"/>
      <c r="D25" s="880"/>
      <c r="E25" s="889">
        <f>IF(個人経営者_氏名="","",個人経営者_氏名)</f>
      </c>
      <c r="F25" s="890"/>
      <c r="G25" s="890"/>
      <c r="H25" s="890"/>
      <c r="I25" s="890"/>
      <c r="J25" s="890"/>
      <c r="K25" s="890"/>
      <c r="L25" s="890"/>
      <c r="M25" s="890"/>
      <c r="N25" s="895"/>
      <c r="O25" s="889">
        <f>IF(法人経営者_法人名="","",法人経営者_法人名)</f>
      </c>
      <c r="P25" s="890"/>
      <c r="Q25" s="890"/>
      <c r="R25" s="890"/>
      <c r="S25" s="890"/>
      <c r="T25" s="890"/>
      <c r="U25" s="890"/>
      <c r="V25" s="890"/>
      <c r="W25" s="890"/>
      <c r="X25" s="891"/>
    </row>
    <row r="26" spans="1:24" s="8" customFormat="1" ht="16.5" customHeight="1">
      <c r="A26" s="899" t="s">
        <v>667</v>
      </c>
      <c r="B26" s="873"/>
      <c r="C26" s="873"/>
      <c r="D26" s="873"/>
      <c r="E26" s="873" t="s">
        <v>857</v>
      </c>
      <c r="F26" s="873"/>
      <c r="G26" s="873"/>
      <c r="H26" s="873"/>
      <c r="I26" s="873"/>
      <c r="J26" s="873"/>
      <c r="K26" s="873"/>
      <c r="L26" s="873"/>
      <c r="M26" s="873"/>
      <c r="N26" s="873"/>
      <c r="O26" s="896">
        <f>IF(法人経営者_代表者名="","",法人経営者_代表者名)</f>
      </c>
      <c r="P26" s="897"/>
      <c r="Q26" s="897"/>
      <c r="R26" s="897"/>
      <c r="S26" s="897"/>
      <c r="T26" s="897"/>
      <c r="U26" s="897"/>
      <c r="V26" s="897"/>
      <c r="W26" s="897"/>
      <c r="X26" s="898"/>
    </row>
    <row r="27" spans="1:14" s="8" customFormat="1" ht="16.5" customHeight="1">
      <c r="A27" s="69"/>
      <c r="B27" s="69"/>
      <c r="C27" s="69"/>
      <c r="D27" s="69"/>
      <c r="E27" s="66"/>
      <c r="F27" s="66"/>
      <c r="G27" s="66"/>
      <c r="H27" s="66"/>
      <c r="I27" s="66"/>
      <c r="J27" s="66"/>
      <c r="K27" s="66"/>
      <c r="L27" s="66"/>
      <c r="M27" s="66"/>
      <c r="N27" s="66"/>
    </row>
    <row r="28" s="8" customFormat="1" ht="16.5" customHeight="1">
      <c r="A28" s="8" t="s">
        <v>753</v>
      </c>
    </row>
    <row r="29" spans="1:20" s="8" customFormat="1" ht="16.5" customHeight="1">
      <c r="A29" s="877" t="s">
        <v>724</v>
      </c>
      <c r="B29" s="862"/>
      <c r="C29" s="862"/>
      <c r="D29" s="862"/>
      <c r="E29" s="862"/>
      <c r="F29" s="862"/>
      <c r="G29" s="862"/>
      <c r="H29" s="862"/>
      <c r="I29" s="862"/>
      <c r="J29" s="862"/>
      <c r="K29" s="862"/>
      <c r="L29" s="862"/>
      <c r="M29" s="862" t="s">
        <v>725</v>
      </c>
      <c r="N29" s="862"/>
      <c r="O29" s="862"/>
      <c r="P29" s="862"/>
      <c r="Q29" s="862" t="s">
        <v>726</v>
      </c>
      <c r="R29" s="862"/>
      <c r="S29" s="862"/>
      <c r="T29" s="882"/>
    </row>
    <row r="30" spans="1:20" s="8" customFormat="1" ht="16.5" customHeight="1">
      <c r="A30" s="878" t="s">
        <v>727</v>
      </c>
      <c r="B30" s="879"/>
      <c r="C30" s="879"/>
      <c r="D30" s="879"/>
      <c r="E30" s="879"/>
      <c r="F30" s="879"/>
      <c r="G30" s="879"/>
      <c r="H30" s="879"/>
      <c r="I30" s="879"/>
      <c r="J30" s="879"/>
      <c r="K30" s="879"/>
      <c r="L30" s="879"/>
      <c r="M30" s="880">
        <f>T(全農基金_前年度)</f>
      </c>
      <c r="N30" s="880"/>
      <c r="O30" s="880"/>
      <c r="P30" s="880"/>
      <c r="Q30" s="880">
        <f>T(全農基金_本年度)</f>
      </c>
      <c r="R30" s="880"/>
      <c r="S30" s="880"/>
      <c r="T30" s="881"/>
    </row>
    <row r="31" spans="1:20" s="8" customFormat="1" ht="16.5" customHeight="1">
      <c r="A31" s="878" t="s">
        <v>728</v>
      </c>
      <c r="B31" s="879"/>
      <c r="C31" s="879"/>
      <c r="D31" s="879"/>
      <c r="E31" s="879"/>
      <c r="F31" s="879"/>
      <c r="G31" s="879"/>
      <c r="H31" s="879"/>
      <c r="I31" s="879"/>
      <c r="J31" s="879"/>
      <c r="K31" s="879"/>
      <c r="L31" s="879"/>
      <c r="M31" s="880">
        <f>T(畜産基金_前年度)</f>
      </c>
      <c r="N31" s="880"/>
      <c r="O31" s="880"/>
      <c r="P31" s="880"/>
      <c r="Q31" s="880">
        <f>T(畜産基金_本年度)</f>
      </c>
      <c r="R31" s="880"/>
      <c r="S31" s="880"/>
      <c r="T31" s="881"/>
    </row>
    <row r="32" spans="1:20" s="8" customFormat="1" ht="16.5" customHeight="1">
      <c r="A32" s="884" t="s">
        <v>729</v>
      </c>
      <c r="B32" s="885"/>
      <c r="C32" s="885"/>
      <c r="D32" s="885"/>
      <c r="E32" s="885"/>
      <c r="F32" s="885"/>
      <c r="G32" s="885"/>
      <c r="H32" s="885"/>
      <c r="I32" s="885"/>
      <c r="J32" s="885"/>
      <c r="K32" s="885"/>
      <c r="L32" s="885"/>
      <c r="M32" s="873">
        <f>T(商系基金_前年度)</f>
      </c>
      <c r="N32" s="873"/>
      <c r="O32" s="873"/>
      <c r="P32" s="873"/>
      <c r="Q32" s="873">
        <f>T(商系基金_本年度)</f>
      </c>
      <c r="R32" s="873"/>
      <c r="S32" s="873"/>
      <c r="T32" s="874"/>
    </row>
    <row r="33" s="8" customFormat="1" ht="16.5" customHeight="1"/>
    <row r="34" s="8" customFormat="1" ht="16.5" customHeight="1">
      <c r="A34" s="8" t="s">
        <v>756</v>
      </c>
    </row>
    <row r="35" spans="1:20" s="8" customFormat="1" ht="16.5" customHeight="1">
      <c r="A35" s="877" t="s">
        <v>730</v>
      </c>
      <c r="B35" s="862"/>
      <c r="C35" s="862"/>
      <c r="D35" s="862"/>
      <c r="E35" s="862" t="s">
        <v>731</v>
      </c>
      <c r="F35" s="862"/>
      <c r="G35" s="862" t="s">
        <v>732</v>
      </c>
      <c r="H35" s="862"/>
      <c r="I35" s="862"/>
      <c r="J35" s="862"/>
      <c r="K35" s="862"/>
      <c r="L35" s="862"/>
      <c r="M35" s="862" t="s">
        <v>733</v>
      </c>
      <c r="N35" s="862"/>
      <c r="O35" s="862" t="s">
        <v>734</v>
      </c>
      <c r="P35" s="862"/>
      <c r="Q35" s="862" t="s">
        <v>735</v>
      </c>
      <c r="R35" s="862"/>
      <c r="S35" s="862" t="s">
        <v>736</v>
      </c>
      <c r="T35" s="882"/>
    </row>
    <row r="36" spans="1:20" s="8" customFormat="1" ht="16.5" customHeight="1">
      <c r="A36" s="886"/>
      <c r="B36" s="863"/>
      <c r="C36" s="863"/>
      <c r="D36" s="863"/>
      <c r="E36" s="863"/>
      <c r="F36" s="863"/>
      <c r="G36" s="863" t="s">
        <v>737</v>
      </c>
      <c r="H36" s="863"/>
      <c r="I36" s="863" t="s">
        <v>738</v>
      </c>
      <c r="J36" s="863"/>
      <c r="K36" s="863" t="s">
        <v>739</v>
      </c>
      <c r="L36" s="863"/>
      <c r="M36" s="863"/>
      <c r="N36" s="863"/>
      <c r="O36" s="863"/>
      <c r="P36" s="863"/>
      <c r="Q36" s="863"/>
      <c r="R36" s="863"/>
      <c r="S36" s="863"/>
      <c r="T36" s="883"/>
    </row>
    <row r="37" spans="1:20" s="8" customFormat="1" ht="16.5" customHeight="1">
      <c r="A37" s="887"/>
      <c r="B37" s="888"/>
      <c r="C37" s="888"/>
      <c r="D37" s="888"/>
      <c r="E37" s="873">
        <f>IF(経営形態_酪農経営="","",経営形態_酪農経営)</f>
      </c>
      <c r="F37" s="873"/>
      <c r="G37" s="873">
        <f>IF(経営形態_肉用牛経営_繁殖="","",経営形態_肉用牛経営_繁殖)</f>
      </c>
      <c r="H37" s="873"/>
      <c r="I37" s="873">
        <f>IF(経営形態_肉用牛経営_育成="","",経営形態_肉用牛経営_育成)</f>
      </c>
      <c r="J37" s="873"/>
      <c r="K37" s="873">
        <f>IF(経営形態_肉用牛経営_肥育="","",経営形態_肉用牛経営_肥育)</f>
      </c>
      <c r="L37" s="873"/>
      <c r="M37" s="873">
        <f>IF(経営形態_養豚経営="","",経営形態_養豚経営)</f>
      </c>
      <c r="N37" s="873"/>
      <c r="O37" s="873">
        <f>IF(経営形態_採卵鶏="","",経営形態_採卵鶏)</f>
      </c>
      <c r="P37" s="873"/>
      <c r="Q37" s="873">
        <f>IF(経営形態_肉用鶏="","",経営形態_肉用鶏)</f>
      </c>
      <c r="R37" s="873"/>
      <c r="S37" s="873">
        <f>IF(経営形態_その他="","",経営形態_その他)</f>
      </c>
      <c r="T37" s="874"/>
    </row>
    <row r="38" s="8" customFormat="1" ht="16.5" customHeight="1"/>
    <row r="39" s="8" customFormat="1" ht="16.5" customHeight="1">
      <c r="A39" s="8" t="s">
        <v>757</v>
      </c>
    </row>
    <row r="40" spans="1:20" s="97" customFormat="1" ht="16.5" customHeight="1">
      <c r="A40" s="864" t="s">
        <v>740</v>
      </c>
      <c r="B40" s="865"/>
      <c r="C40" s="865"/>
      <c r="D40" s="865"/>
      <c r="E40" s="656" t="s">
        <v>741</v>
      </c>
      <c r="F40" s="656"/>
      <c r="G40" s="656">
        <f>IF(配合飼料の購入先_農協="","",配合飼料の購入先_農協)</f>
      </c>
      <c r="H40" s="656"/>
      <c r="I40" s="656"/>
      <c r="J40" s="656"/>
      <c r="K40" s="656"/>
      <c r="L40" s="871" t="s">
        <v>742</v>
      </c>
      <c r="M40" s="871"/>
      <c r="N40" s="871"/>
      <c r="O40" s="656">
        <f>IF(配合飼料の購入先_農業協同組合_支店="","",配合飼料の購入先_農業協同組合_支店)</f>
      </c>
      <c r="P40" s="656"/>
      <c r="Q40" s="656"/>
      <c r="R40" s="656"/>
      <c r="S40" s="875" t="s">
        <v>743</v>
      </c>
      <c r="T40" s="876"/>
    </row>
    <row r="41" spans="1:20" s="97" customFormat="1" ht="16.5" customHeight="1">
      <c r="A41" s="866"/>
      <c r="B41" s="867"/>
      <c r="C41" s="867"/>
      <c r="D41" s="867"/>
      <c r="E41" s="648" t="s">
        <v>744</v>
      </c>
      <c r="F41" s="648"/>
      <c r="G41" s="648">
        <f>IF(配合飼料の購入先_商系1="","",配合飼料の購入先_商系1)</f>
      </c>
      <c r="H41" s="648"/>
      <c r="I41" s="648"/>
      <c r="J41" s="648"/>
      <c r="K41" s="648"/>
      <c r="L41" s="702" t="s">
        <v>745</v>
      </c>
      <c r="M41" s="702"/>
      <c r="N41" s="702"/>
      <c r="O41" s="648">
        <f>IF(配合飼料の購入先_飼料販売代理店_支店="","",配合飼料の購入先_飼料販売代理店_支店)</f>
      </c>
      <c r="P41" s="648"/>
      <c r="Q41" s="648"/>
      <c r="R41" s="648"/>
      <c r="S41" s="653" t="s">
        <v>746</v>
      </c>
      <c r="T41" s="872"/>
    </row>
    <row r="42" spans="1:20" s="97" customFormat="1" ht="16.5" customHeight="1">
      <c r="A42" s="866"/>
      <c r="B42" s="867"/>
      <c r="C42" s="867"/>
      <c r="D42" s="867"/>
      <c r="E42" s="648"/>
      <c r="F42" s="648"/>
      <c r="G42" s="648">
        <f>IF(配合飼料の購入先_商系2="","",配合飼料の購入先_商系2)</f>
      </c>
      <c r="H42" s="648"/>
      <c r="I42" s="648"/>
      <c r="J42" s="648"/>
      <c r="K42" s="648"/>
      <c r="L42" s="702" t="s">
        <v>747</v>
      </c>
      <c r="M42" s="702"/>
      <c r="N42" s="702"/>
      <c r="O42" s="648">
        <f>IF(配合飼料の購入先_飼料株式会社_支店="","",配合飼料の購入先_飼料株式会社_支店)</f>
      </c>
      <c r="P42" s="648"/>
      <c r="Q42" s="648"/>
      <c r="R42" s="648"/>
      <c r="S42" s="653" t="s">
        <v>746</v>
      </c>
      <c r="T42" s="872"/>
    </row>
    <row r="43" spans="1:20" s="97" customFormat="1" ht="16.5" customHeight="1">
      <c r="A43" s="868"/>
      <c r="B43" s="869"/>
      <c r="C43" s="869"/>
      <c r="D43" s="869"/>
      <c r="E43" s="707"/>
      <c r="F43" s="707"/>
      <c r="G43" s="707">
        <f>IF(配合飼料の購入先_商系3="","",配合飼料の購入先_商系3)</f>
      </c>
      <c r="H43" s="707"/>
      <c r="I43" s="707"/>
      <c r="J43" s="707"/>
      <c r="K43" s="707"/>
      <c r="L43" s="707"/>
      <c r="M43" s="707"/>
      <c r="N43" s="707"/>
      <c r="O43" s="707"/>
      <c r="P43" s="707"/>
      <c r="Q43" s="707"/>
      <c r="R43" s="707"/>
      <c r="S43" s="707"/>
      <c r="T43" s="870"/>
    </row>
  </sheetData>
  <sheetProtection password="C704" sheet="1" selectLockedCells="1" selectUnlockedCells="1"/>
  <mergeCells count="90">
    <mergeCell ref="P19:Q19"/>
    <mergeCell ref="L12:O12"/>
    <mergeCell ref="L13:O13"/>
    <mergeCell ref="A18:O18"/>
    <mergeCell ref="P16:Q16"/>
    <mergeCell ref="P17:Q17"/>
    <mergeCell ref="P18:Q18"/>
    <mergeCell ref="P13:W13"/>
    <mergeCell ref="A16:O16"/>
    <mergeCell ref="A17:O17"/>
    <mergeCell ref="A7:X7"/>
    <mergeCell ref="A8:X8"/>
    <mergeCell ref="A9:X9"/>
    <mergeCell ref="A10:G10"/>
    <mergeCell ref="P12:W12"/>
    <mergeCell ref="E24:N24"/>
    <mergeCell ref="O24:X24"/>
    <mergeCell ref="P20:Q20"/>
    <mergeCell ref="R16:S16"/>
    <mergeCell ref="R17:S17"/>
    <mergeCell ref="A19:O19"/>
    <mergeCell ref="A20:O20"/>
    <mergeCell ref="R18:S20"/>
    <mergeCell ref="T16:U16"/>
    <mergeCell ref="E23:N23"/>
    <mergeCell ref="A2:X2"/>
    <mergeCell ref="O11:X11"/>
    <mergeCell ref="L11:N11"/>
    <mergeCell ref="A21:F21"/>
    <mergeCell ref="G21:L21"/>
    <mergeCell ref="M21:R21"/>
    <mergeCell ref="S21:X21"/>
    <mergeCell ref="X12:X13"/>
    <mergeCell ref="T18:U20"/>
    <mergeCell ref="T17:U17"/>
    <mergeCell ref="M29:P29"/>
    <mergeCell ref="O23:X23"/>
    <mergeCell ref="A24:D24"/>
    <mergeCell ref="A25:D25"/>
    <mergeCell ref="E25:N25"/>
    <mergeCell ref="O26:X26"/>
    <mergeCell ref="A26:D26"/>
    <mergeCell ref="E26:N26"/>
    <mergeCell ref="A23:D23"/>
    <mergeCell ref="O25:X25"/>
    <mergeCell ref="Q35:R36"/>
    <mergeCell ref="Q29:T29"/>
    <mergeCell ref="Q32:T32"/>
    <mergeCell ref="M30:P30"/>
    <mergeCell ref="Q30:T30"/>
    <mergeCell ref="A31:L31"/>
    <mergeCell ref="M31:P31"/>
    <mergeCell ref="Q31:T31"/>
    <mergeCell ref="S35:T36"/>
    <mergeCell ref="G36:H36"/>
    <mergeCell ref="I36:J36"/>
    <mergeCell ref="K36:L36"/>
    <mergeCell ref="A32:L32"/>
    <mergeCell ref="M32:P32"/>
    <mergeCell ref="A35:D37"/>
    <mergeCell ref="G41:K41"/>
    <mergeCell ref="O37:P37"/>
    <mergeCell ref="M37:N37"/>
    <mergeCell ref="A29:L29"/>
    <mergeCell ref="E41:F43"/>
    <mergeCell ref="E37:F37"/>
    <mergeCell ref="G37:H37"/>
    <mergeCell ref="I37:J37"/>
    <mergeCell ref="K37:L37"/>
    <mergeCell ref="A30:L30"/>
    <mergeCell ref="S42:T42"/>
    <mergeCell ref="O41:R41"/>
    <mergeCell ref="S41:T41"/>
    <mergeCell ref="Q37:R37"/>
    <mergeCell ref="S37:T37"/>
    <mergeCell ref="S40:T40"/>
    <mergeCell ref="A40:D43"/>
    <mergeCell ref="E40:F40"/>
    <mergeCell ref="G40:K40"/>
    <mergeCell ref="O40:R40"/>
    <mergeCell ref="L41:N41"/>
    <mergeCell ref="L42:N42"/>
    <mergeCell ref="G43:T43"/>
    <mergeCell ref="L40:N40"/>
    <mergeCell ref="G42:K42"/>
    <mergeCell ref="O42:R42"/>
    <mergeCell ref="E35:F36"/>
    <mergeCell ref="G35:L35"/>
    <mergeCell ref="M35:N36"/>
    <mergeCell ref="O35:P36"/>
  </mergeCells>
  <printOptions horizontalCentered="1"/>
  <pageMargins left="0.6692913385826772" right="0.5118110236220472" top="0.7086614173228347" bottom="0.984251968503937" header="0.2755905511811024" footer="0.5118110236220472"/>
  <pageSetup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sheetPr codeName="Sheet1"/>
  <dimension ref="A1:E20"/>
  <sheetViews>
    <sheetView workbookViewId="0" topLeftCell="A13">
      <selection activeCell="D1" sqref="D1"/>
    </sheetView>
  </sheetViews>
  <sheetFormatPr defaultColWidth="9.00390625" defaultRowHeight="32.25" customHeight="1"/>
  <cols>
    <col min="1" max="2" width="18.50390625" style="1" customWidth="1"/>
    <col min="3" max="3" width="14.125" style="1" bestFit="1" customWidth="1"/>
    <col min="4" max="4" width="30.875" style="1" customWidth="1"/>
    <col min="5" max="5" width="4.875" style="1" customWidth="1"/>
    <col min="6" max="16384" width="18.50390625" style="1" customWidth="1"/>
  </cols>
  <sheetData>
    <row r="1" ht="32.25" customHeight="1">
      <c r="D1" s="296">
        <f>申請月日</f>
        <v>0</v>
      </c>
    </row>
    <row r="3" spans="1:4" ht="32.25" customHeight="1">
      <c r="A3" s="848" t="s">
        <v>365</v>
      </c>
      <c r="B3" s="848"/>
      <c r="C3" s="848"/>
      <c r="D3" s="848"/>
    </row>
    <row r="5" spans="3:4" ht="32.25" customHeight="1">
      <c r="C5" s="3" t="s">
        <v>366</v>
      </c>
      <c r="D5" s="260">
        <f>T(借受団体_団体名)</f>
      </c>
    </row>
    <row r="6" spans="3:4" ht="32.25" customHeight="1">
      <c r="C6" s="3" t="s">
        <v>367</v>
      </c>
      <c r="D6" s="260">
        <f>T(借受団体_農協担当部署)</f>
      </c>
    </row>
    <row r="7" spans="3:5" ht="32.25" customHeight="1">
      <c r="C7" s="3" t="s">
        <v>368</v>
      </c>
      <c r="D7" s="260">
        <f>T(借受団体_担当者名)</f>
      </c>
      <c r="E7" s="1" t="s">
        <v>1134</v>
      </c>
    </row>
    <row r="9" spans="1:4" ht="32.25" customHeight="1">
      <c r="A9" s="749" t="s">
        <v>369</v>
      </c>
      <c r="B9" s="749"/>
      <c r="C9" s="749"/>
      <c r="D9" s="749"/>
    </row>
    <row r="10" spans="1:4" ht="32.25" customHeight="1">
      <c r="A10" s="670" t="s">
        <v>1135</v>
      </c>
      <c r="B10" s="670"/>
      <c r="C10" s="670"/>
      <c r="D10" s="670"/>
    </row>
    <row r="11" spans="1:4" ht="32.25" customHeight="1">
      <c r="A11" s="1" t="s">
        <v>370</v>
      </c>
      <c r="B11" s="673">
        <f>T(住所_住所)</f>
      </c>
      <c r="C11" s="673"/>
      <c r="D11" s="673"/>
    </row>
    <row r="12" spans="2:4" ht="32.25" customHeight="1">
      <c r="B12" s="673">
        <f>T(借受者名_漢字)</f>
      </c>
      <c r="C12" s="673"/>
      <c r="D12" s="673"/>
    </row>
    <row r="13" spans="2:4" ht="32.25" customHeight="1">
      <c r="B13" s="673">
        <f>T(代表者名_漢字)</f>
      </c>
      <c r="C13" s="673"/>
      <c r="D13" s="673"/>
    </row>
    <row r="15" ht="32.25" customHeight="1">
      <c r="A15" s="1" t="s">
        <v>371</v>
      </c>
    </row>
    <row r="16" spans="1:4" ht="32.25" customHeight="1">
      <c r="A16" s="749">
        <f>T(対策理由)</f>
      </c>
      <c r="B16" s="749"/>
      <c r="C16" s="749"/>
      <c r="D16" s="749"/>
    </row>
    <row r="17" spans="1:4" ht="32.25" customHeight="1">
      <c r="A17" s="749"/>
      <c r="B17" s="749"/>
      <c r="C17" s="749"/>
      <c r="D17" s="749"/>
    </row>
    <row r="18" spans="1:4" ht="32.25" customHeight="1">
      <c r="A18" s="749"/>
      <c r="B18" s="749"/>
      <c r="C18" s="749"/>
      <c r="D18" s="749"/>
    </row>
    <row r="19" spans="1:4" ht="32.25" customHeight="1">
      <c r="A19" s="749"/>
      <c r="B19" s="749"/>
      <c r="C19" s="749"/>
      <c r="D19" s="749"/>
    </row>
    <row r="20" spans="1:4" ht="32.25" customHeight="1">
      <c r="A20" s="749"/>
      <c r="B20" s="749"/>
      <c r="C20" s="749"/>
      <c r="D20" s="749"/>
    </row>
  </sheetData>
  <sheetProtection password="C704" sheet="1" objects="1" scenarios="1" selectLockedCells="1" selectUnlockedCells="1"/>
  <mergeCells count="7">
    <mergeCell ref="B12:D12"/>
    <mergeCell ref="B13:D13"/>
    <mergeCell ref="A16:D20"/>
    <mergeCell ref="A3:D3"/>
    <mergeCell ref="A9:D9"/>
    <mergeCell ref="A10:D10"/>
    <mergeCell ref="B11:D11"/>
  </mergeCells>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tYoshikiGNP">
    <pageSetUpPr fitToPage="1"/>
  </sheetPr>
  <dimension ref="A1:Q336"/>
  <sheetViews>
    <sheetView view="pageBreakPreview" zoomScale="75" zoomScaleSheetLayoutView="75" zoomScalePageLayoutView="0" workbookViewId="0" topLeftCell="A1">
      <selection activeCell="A1" sqref="A1"/>
    </sheetView>
  </sheetViews>
  <sheetFormatPr defaultColWidth="9.00390625" defaultRowHeight="22.5" customHeight="1"/>
  <cols>
    <col min="1" max="1" width="2.75390625" style="261" bestFit="1" customWidth="1"/>
    <col min="2" max="2" width="20.125" style="261" customWidth="1"/>
    <col min="3" max="3" width="13.875" style="261" customWidth="1"/>
    <col min="4" max="6" width="31.25390625" style="261" customWidth="1"/>
    <col min="7" max="16384" width="9.00390625" style="261" customWidth="1"/>
  </cols>
  <sheetData>
    <row r="1" ht="22.5" customHeight="1">
      <c r="A1" s="261" t="s">
        <v>748</v>
      </c>
    </row>
    <row r="2" spans="2:6" ht="22.5" customHeight="1">
      <c r="B2" s="260" t="s">
        <v>331</v>
      </c>
      <c r="C2" s="260"/>
      <c r="D2" s="260"/>
      <c r="E2" s="260"/>
      <c r="F2" s="260"/>
    </row>
    <row r="3" spans="2:6" ht="22.5" customHeight="1">
      <c r="B3" s="260"/>
      <c r="C3" s="260"/>
      <c r="D3" s="260"/>
      <c r="E3" s="260"/>
      <c r="F3" s="260"/>
    </row>
    <row r="4" spans="2:6" ht="22.5" customHeight="1">
      <c r="B4" s="260"/>
      <c r="C4" s="260"/>
      <c r="D4" s="260"/>
      <c r="E4" s="260"/>
      <c r="F4" s="260"/>
    </row>
    <row r="5" spans="2:6" ht="22.5" customHeight="1">
      <c r="B5" s="260"/>
      <c r="C5" s="260"/>
      <c r="D5" s="260"/>
      <c r="E5" s="260"/>
      <c r="F5" s="260"/>
    </row>
    <row r="6" spans="1:6" ht="22.5" customHeight="1">
      <c r="A6" s="909" t="s">
        <v>332</v>
      </c>
      <c r="B6" s="909"/>
      <c r="C6" s="909"/>
      <c r="D6" s="909"/>
      <c r="E6" s="909"/>
      <c r="F6" s="909"/>
    </row>
    <row r="7" spans="2:6" ht="22.5" customHeight="1">
      <c r="B7" s="260"/>
      <c r="C7" s="260"/>
      <c r="D7" s="283"/>
      <c r="E7" s="260"/>
      <c r="F7" s="260"/>
    </row>
    <row r="8" spans="2:6" ht="22.5" customHeight="1">
      <c r="B8" s="260"/>
      <c r="C8" s="260"/>
      <c r="D8" s="283"/>
      <c r="E8" s="260"/>
      <c r="F8" s="260"/>
    </row>
    <row r="9" spans="2:6" ht="22.5" customHeight="1">
      <c r="B9" s="260"/>
      <c r="C9" s="260"/>
      <c r="D9" s="283"/>
      <c r="E9" s="260"/>
      <c r="F9" s="260"/>
    </row>
    <row r="10" spans="2:6" ht="22.5" customHeight="1">
      <c r="B10" s="260"/>
      <c r="C10" s="260"/>
      <c r="D10" s="283"/>
      <c r="E10" s="260"/>
      <c r="F10" s="260"/>
    </row>
    <row r="11" spans="2:6" ht="22.5" customHeight="1">
      <c r="B11" s="260"/>
      <c r="C11" s="260"/>
      <c r="D11" s="914">
        <f>機械1_カタログ原本証明日</f>
        <v>0</v>
      </c>
      <c r="E11" s="914"/>
      <c r="F11" s="260"/>
    </row>
    <row r="12" spans="2:6" ht="22.5" customHeight="1">
      <c r="B12" s="260"/>
      <c r="C12" s="260"/>
      <c r="D12" s="283"/>
      <c r="E12" s="260"/>
      <c r="F12" s="260"/>
    </row>
    <row r="13" spans="2:6" ht="22.5" customHeight="1">
      <c r="B13" s="260"/>
      <c r="C13" s="260"/>
      <c r="D13" s="283"/>
      <c r="E13" s="260"/>
      <c r="F13" s="260"/>
    </row>
    <row r="14" spans="2:6" ht="22.5" customHeight="1">
      <c r="B14" s="260"/>
      <c r="C14" s="260"/>
      <c r="D14" s="284" t="s">
        <v>333</v>
      </c>
      <c r="E14" s="915">
        <f>機械1_現地納入業者_所在地</f>
        <v>0</v>
      </c>
      <c r="F14" s="915"/>
    </row>
    <row r="15" spans="2:6" ht="22.5" customHeight="1">
      <c r="B15" s="260"/>
      <c r="C15" s="260"/>
      <c r="D15" s="285"/>
      <c r="E15" s="283"/>
      <c r="F15" s="260"/>
    </row>
    <row r="16" spans="2:6" ht="22.5" customHeight="1">
      <c r="B16" s="260"/>
      <c r="C16" s="260"/>
      <c r="D16" s="284" t="s">
        <v>334</v>
      </c>
      <c r="E16" s="915">
        <f>機械1_現地納入業者_名称</f>
        <v>0</v>
      </c>
      <c r="F16" s="915"/>
    </row>
    <row r="17" ht="22.5" customHeight="1">
      <c r="B17" s="260"/>
    </row>
    <row r="18" spans="2:6" ht="22.5" customHeight="1">
      <c r="B18" s="260"/>
      <c r="C18" s="281"/>
      <c r="D18" s="286"/>
      <c r="E18" s="286"/>
      <c r="F18" s="286"/>
    </row>
    <row r="19" spans="2:6" ht="22.5" customHeight="1">
      <c r="B19" s="260"/>
      <c r="C19" s="281"/>
      <c r="D19" s="287" t="s">
        <v>335</v>
      </c>
      <c r="E19" s="288" t="s">
        <v>313</v>
      </c>
      <c r="F19" s="288" t="s">
        <v>1167</v>
      </c>
    </row>
    <row r="20" spans="2:6" ht="22.5" customHeight="1">
      <c r="B20" s="260"/>
      <c r="C20" s="281"/>
      <c r="D20" s="911"/>
      <c r="E20" s="912">
        <f>借受団体_団体名</f>
        <v>0</v>
      </c>
      <c r="F20" s="49">
        <f>借受者名_漢字</f>
        <v>0</v>
      </c>
    </row>
    <row r="21" spans="2:6" ht="22.5" customHeight="1">
      <c r="B21" s="260"/>
      <c r="C21" s="281"/>
      <c r="D21" s="911"/>
      <c r="E21" s="912"/>
      <c r="F21" s="49">
        <f>T(代表者名_漢字)</f>
      </c>
    </row>
    <row r="23" spans="2:6" ht="22.5" customHeight="1">
      <c r="B23" s="260" t="s">
        <v>336</v>
      </c>
      <c r="C23" s="260"/>
      <c r="D23" s="260"/>
      <c r="E23" s="260"/>
      <c r="F23" s="260"/>
    </row>
    <row r="24" spans="2:6" ht="22.5" customHeight="1">
      <c r="B24" s="260"/>
      <c r="C24" s="260"/>
      <c r="D24" s="260"/>
      <c r="E24" s="907" t="s">
        <v>313</v>
      </c>
      <c r="F24" s="907">
        <f>E20</f>
        <v>0</v>
      </c>
    </row>
    <row r="25" spans="2:6" ht="22.5" customHeight="1">
      <c r="B25" s="260"/>
      <c r="C25" s="260"/>
      <c r="D25" s="260"/>
      <c r="E25" s="908"/>
      <c r="F25" s="908"/>
    </row>
    <row r="26" spans="2:6" ht="22.5" customHeight="1">
      <c r="B26" s="260"/>
      <c r="C26" s="260"/>
      <c r="D26" s="260"/>
      <c r="E26" s="907" t="s">
        <v>1167</v>
      </c>
      <c r="F26" s="289">
        <f>IF(F20="","",F20)</f>
        <v>0</v>
      </c>
    </row>
    <row r="27" spans="2:6" ht="22.5" customHeight="1">
      <c r="B27" s="260"/>
      <c r="C27" s="260"/>
      <c r="D27" s="260"/>
      <c r="E27" s="908"/>
      <c r="F27" s="290">
        <f>F21</f>
      </c>
    </row>
    <row r="28" spans="2:6" ht="22.5" customHeight="1">
      <c r="B28" s="260"/>
      <c r="C28" s="260"/>
      <c r="D28" s="260"/>
      <c r="E28" s="260"/>
      <c r="F28" s="260"/>
    </row>
    <row r="29" spans="2:6" ht="22.5" customHeight="1">
      <c r="B29" s="260"/>
      <c r="C29" s="260"/>
      <c r="D29" s="283"/>
      <c r="E29" s="260"/>
      <c r="F29" s="260"/>
    </row>
    <row r="30" spans="1:6" ht="22.5" customHeight="1">
      <c r="A30" s="909" t="s">
        <v>332</v>
      </c>
      <c r="B30" s="909"/>
      <c r="C30" s="909"/>
      <c r="D30" s="909"/>
      <c r="E30" s="909"/>
      <c r="F30" s="909"/>
    </row>
    <row r="31" spans="2:6" ht="22.5" customHeight="1">
      <c r="B31" s="260"/>
      <c r="C31" s="260"/>
      <c r="D31" s="283"/>
      <c r="E31" s="260"/>
      <c r="F31" s="260"/>
    </row>
    <row r="32" spans="2:6" ht="22.5" customHeight="1">
      <c r="B32" s="260"/>
      <c r="C32" s="260"/>
      <c r="D32" s="283"/>
      <c r="E32" s="260"/>
      <c r="F32" s="260"/>
    </row>
    <row r="33" spans="2:6" ht="22.5" customHeight="1">
      <c r="B33" s="260"/>
      <c r="C33" s="260"/>
      <c r="D33" s="283"/>
      <c r="E33" s="260"/>
      <c r="F33" s="260"/>
    </row>
    <row r="34" spans="2:6" ht="22.5" customHeight="1">
      <c r="B34" s="260"/>
      <c r="C34" s="260"/>
      <c r="D34" s="910">
        <f>D11</f>
        <v>0</v>
      </c>
      <c r="E34" s="910"/>
      <c r="F34" s="260"/>
    </row>
    <row r="35" spans="2:6" ht="22.5" customHeight="1">
      <c r="B35" s="260"/>
      <c r="C35" s="260"/>
      <c r="D35" s="283"/>
      <c r="E35" s="260"/>
      <c r="F35" s="260"/>
    </row>
    <row r="36" spans="2:6" ht="22.5" customHeight="1">
      <c r="B36" s="260"/>
      <c r="C36" s="260"/>
      <c r="D36" s="283"/>
      <c r="E36" s="260"/>
      <c r="F36" s="260"/>
    </row>
    <row r="37" spans="2:17" ht="22.5" customHeight="1">
      <c r="B37" s="260"/>
      <c r="C37" s="260"/>
      <c r="D37" s="284" t="s">
        <v>333</v>
      </c>
      <c r="E37" s="913">
        <f>E14</f>
        <v>0</v>
      </c>
      <c r="F37" s="913"/>
      <c r="J37" s="260"/>
      <c r="K37" s="260"/>
      <c r="L37" s="260"/>
      <c r="M37" s="260"/>
      <c r="N37" s="260"/>
      <c r="O37" s="260"/>
      <c r="P37" s="260"/>
      <c r="Q37" s="260"/>
    </row>
    <row r="38" spans="2:17" ht="22.5" customHeight="1">
      <c r="B38" s="260"/>
      <c r="C38" s="260"/>
      <c r="D38" s="284"/>
      <c r="E38" s="260"/>
      <c r="F38" s="260"/>
      <c r="J38" s="260"/>
      <c r="K38" s="260"/>
      <c r="L38" s="260"/>
      <c r="M38" s="260"/>
      <c r="N38" s="260"/>
      <c r="O38" s="260"/>
      <c r="P38" s="260"/>
      <c r="Q38" s="260"/>
    </row>
    <row r="39" spans="2:17" ht="22.5" customHeight="1">
      <c r="B39" s="260"/>
      <c r="C39" s="260"/>
      <c r="D39" s="284" t="s">
        <v>334</v>
      </c>
      <c r="E39" s="913">
        <f>E16</f>
        <v>0</v>
      </c>
      <c r="F39" s="913"/>
      <c r="J39" s="260"/>
      <c r="K39" s="260"/>
      <c r="L39" s="260"/>
      <c r="M39" s="260"/>
      <c r="N39" s="260"/>
      <c r="O39" s="260"/>
      <c r="P39" s="260"/>
      <c r="Q39" s="260"/>
    </row>
    <row r="40" spans="2:6" ht="22.5" customHeight="1">
      <c r="B40" s="260"/>
      <c r="C40" s="260"/>
      <c r="D40" s="260"/>
      <c r="E40" s="260"/>
      <c r="F40" s="260"/>
    </row>
    <row r="41" spans="2:6" ht="22.5" customHeight="1">
      <c r="B41" s="260"/>
      <c r="C41" s="260"/>
      <c r="D41" s="260"/>
      <c r="E41" s="260"/>
      <c r="F41" s="260"/>
    </row>
    <row r="42" spans="2:6" ht="22.5" customHeight="1">
      <c r="B42" s="260"/>
      <c r="C42" s="260"/>
      <c r="D42" s="260"/>
      <c r="E42" s="260"/>
      <c r="F42" s="260"/>
    </row>
    <row r="44" spans="2:6" ht="22.5" customHeight="1">
      <c r="B44" s="260" t="s">
        <v>337</v>
      </c>
      <c r="C44" s="260"/>
      <c r="D44" s="260"/>
      <c r="E44" s="260"/>
      <c r="F44" s="260"/>
    </row>
    <row r="45" spans="2:6" ht="22.5" customHeight="1">
      <c r="B45" s="260"/>
      <c r="C45" s="260"/>
      <c r="D45" s="260"/>
      <c r="E45" s="907" t="s">
        <v>313</v>
      </c>
      <c r="F45" s="907">
        <f>F24</f>
        <v>0</v>
      </c>
    </row>
    <row r="46" spans="2:6" ht="22.5" customHeight="1">
      <c r="B46" s="260"/>
      <c r="C46" s="260"/>
      <c r="D46" s="260"/>
      <c r="E46" s="908"/>
      <c r="F46" s="908"/>
    </row>
    <row r="47" spans="2:6" ht="22.5" customHeight="1">
      <c r="B47" s="260"/>
      <c r="C47" s="260"/>
      <c r="D47" s="260"/>
      <c r="E47" s="907" t="s">
        <v>1167</v>
      </c>
      <c r="F47" s="289">
        <f>IF(F26="","",F26)</f>
        <v>0</v>
      </c>
    </row>
    <row r="48" spans="2:6" ht="22.5" customHeight="1">
      <c r="B48" s="260"/>
      <c r="C48" s="260"/>
      <c r="D48" s="260"/>
      <c r="E48" s="908"/>
      <c r="F48" s="290">
        <f>F27</f>
      </c>
    </row>
    <row r="49" spans="2:6" ht="22.5" customHeight="1">
      <c r="B49" s="260"/>
      <c r="C49" s="260"/>
      <c r="D49" s="260"/>
      <c r="E49" s="260"/>
      <c r="F49" s="260"/>
    </row>
    <row r="50" spans="2:6" ht="22.5" customHeight="1">
      <c r="B50" s="260"/>
      <c r="C50" s="260"/>
      <c r="D50" s="283"/>
      <c r="E50" s="260"/>
      <c r="F50" s="260"/>
    </row>
    <row r="51" spans="1:6" ht="22.5" customHeight="1">
      <c r="A51" s="909" t="s">
        <v>332</v>
      </c>
      <c r="B51" s="909"/>
      <c r="C51" s="909"/>
      <c r="D51" s="909"/>
      <c r="E51" s="909"/>
      <c r="F51" s="909"/>
    </row>
    <row r="52" spans="2:6" ht="22.5" customHeight="1">
      <c r="B52" s="260"/>
      <c r="C52" s="260"/>
      <c r="D52" s="283"/>
      <c r="E52" s="260"/>
      <c r="F52" s="260"/>
    </row>
    <row r="53" spans="2:6" ht="22.5" customHeight="1">
      <c r="B53" s="260"/>
      <c r="C53" s="260"/>
      <c r="D53" s="283"/>
      <c r="E53" s="260"/>
      <c r="F53" s="260"/>
    </row>
    <row r="54" spans="2:6" ht="22.5" customHeight="1">
      <c r="B54" s="260"/>
      <c r="C54" s="260"/>
      <c r="D54" s="283"/>
      <c r="E54" s="260"/>
      <c r="F54" s="260"/>
    </row>
    <row r="55" spans="2:6" ht="22.5" customHeight="1">
      <c r="B55" s="260"/>
      <c r="C55" s="260"/>
      <c r="D55" s="910">
        <f>D34</f>
        <v>0</v>
      </c>
      <c r="E55" s="910"/>
      <c r="F55" s="260"/>
    </row>
    <row r="56" spans="2:6" ht="22.5" customHeight="1">
      <c r="B56" s="260"/>
      <c r="C56" s="260"/>
      <c r="D56" s="283"/>
      <c r="E56" s="260"/>
      <c r="F56" s="260"/>
    </row>
    <row r="57" spans="2:6" ht="22.5" customHeight="1">
      <c r="B57" s="260"/>
      <c r="C57" s="260"/>
      <c r="D57" s="283"/>
      <c r="E57" s="260"/>
      <c r="F57" s="260"/>
    </row>
    <row r="58" spans="2:6" ht="22.5" customHeight="1">
      <c r="B58" s="260"/>
      <c r="C58" s="260"/>
      <c r="D58" s="284" t="s">
        <v>333</v>
      </c>
      <c r="E58" s="913">
        <f>E37</f>
        <v>0</v>
      </c>
      <c r="F58" s="913"/>
    </row>
    <row r="59" spans="2:6" ht="22.5" customHeight="1">
      <c r="B59" s="260"/>
      <c r="C59" s="260"/>
      <c r="D59" s="284"/>
      <c r="E59" s="260"/>
      <c r="F59" s="260"/>
    </row>
    <row r="60" spans="2:6" ht="22.5" customHeight="1">
      <c r="B60" s="260"/>
      <c r="C60" s="260"/>
      <c r="D60" s="284" t="s">
        <v>334</v>
      </c>
      <c r="E60" s="913">
        <f>E39</f>
        <v>0</v>
      </c>
      <c r="F60" s="913"/>
    </row>
    <row r="61" spans="2:6" ht="22.5" customHeight="1">
      <c r="B61" s="260"/>
      <c r="C61" s="260"/>
      <c r="D61" s="260"/>
      <c r="E61" s="260"/>
      <c r="F61" s="260"/>
    </row>
    <row r="62" spans="2:6" ht="22.5" customHeight="1">
      <c r="B62" s="260"/>
      <c r="C62" s="260"/>
      <c r="D62" s="260"/>
      <c r="E62" s="260"/>
      <c r="F62" s="260"/>
    </row>
    <row r="63" spans="2:6" ht="22.5" customHeight="1">
      <c r="B63" s="260"/>
      <c r="C63" s="260"/>
      <c r="D63" s="260"/>
      <c r="E63" s="260"/>
      <c r="F63" s="260"/>
    </row>
    <row r="65" spans="2:6" ht="22.5" customHeight="1">
      <c r="B65" s="260" t="s">
        <v>338</v>
      </c>
      <c r="C65" s="260"/>
      <c r="D65" s="260"/>
      <c r="E65" s="260"/>
      <c r="F65" s="260"/>
    </row>
    <row r="66" spans="2:6" ht="22.5" customHeight="1">
      <c r="B66" s="260"/>
      <c r="C66" s="260"/>
      <c r="D66" s="260"/>
      <c r="E66" s="907" t="s">
        <v>313</v>
      </c>
      <c r="F66" s="907">
        <f>F45</f>
        <v>0</v>
      </c>
    </row>
    <row r="67" spans="2:6" ht="22.5" customHeight="1">
      <c r="B67" s="260"/>
      <c r="C67" s="260"/>
      <c r="D67" s="260"/>
      <c r="E67" s="908"/>
      <c r="F67" s="908"/>
    </row>
    <row r="68" spans="2:6" ht="22.5" customHeight="1">
      <c r="B68" s="260"/>
      <c r="C68" s="260"/>
      <c r="D68" s="260"/>
      <c r="E68" s="907" t="s">
        <v>1167</v>
      </c>
      <c r="F68" s="289">
        <f>IF(F47="","",F47)</f>
        <v>0</v>
      </c>
    </row>
    <row r="69" spans="2:6" ht="22.5" customHeight="1">
      <c r="B69" s="260"/>
      <c r="C69" s="260"/>
      <c r="D69" s="260"/>
      <c r="E69" s="908"/>
      <c r="F69" s="290">
        <f>F48</f>
      </c>
    </row>
    <row r="70" spans="2:6" ht="22.5" customHeight="1">
      <c r="B70" s="260"/>
      <c r="C70" s="260"/>
      <c r="D70" s="260"/>
      <c r="E70" s="260"/>
      <c r="F70" s="260"/>
    </row>
    <row r="71" spans="2:6" ht="22.5" customHeight="1">
      <c r="B71" s="260"/>
      <c r="C71" s="260"/>
      <c r="D71" s="283"/>
      <c r="E71" s="260"/>
      <c r="F71" s="260"/>
    </row>
    <row r="72" spans="1:6" ht="22.5" customHeight="1">
      <c r="A72" s="909" t="s">
        <v>332</v>
      </c>
      <c r="B72" s="909"/>
      <c r="C72" s="909"/>
      <c r="D72" s="909"/>
      <c r="E72" s="909"/>
      <c r="F72" s="909"/>
    </row>
    <row r="73" spans="2:6" ht="22.5" customHeight="1">
      <c r="B73" s="260"/>
      <c r="C73" s="260"/>
      <c r="D73" s="283"/>
      <c r="E73" s="260"/>
      <c r="F73" s="260"/>
    </row>
    <row r="74" spans="2:6" ht="22.5" customHeight="1">
      <c r="B74" s="260"/>
      <c r="C74" s="260"/>
      <c r="D74" s="283"/>
      <c r="E74" s="260"/>
      <c r="F74" s="260"/>
    </row>
    <row r="75" spans="2:6" ht="22.5" customHeight="1">
      <c r="B75" s="260"/>
      <c r="C75" s="260"/>
      <c r="D75" s="283"/>
      <c r="E75" s="260"/>
      <c r="F75" s="260"/>
    </row>
    <row r="76" spans="2:6" ht="22.5" customHeight="1">
      <c r="B76" s="260"/>
      <c r="C76" s="260"/>
      <c r="D76" s="910">
        <f>D55</f>
        <v>0</v>
      </c>
      <c r="E76" s="910"/>
      <c r="F76" s="260"/>
    </row>
    <row r="77" spans="2:6" ht="22.5" customHeight="1">
      <c r="B77" s="260"/>
      <c r="C77" s="260"/>
      <c r="D77" s="283"/>
      <c r="E77" s="260"/>
      <c r="F77" s="260"/>
    </row>
    <row r="78" spans="2:6" ht="22.5" customHeight="1">
      <c r="B78" s="260"/>
      <c r="C78" s="260"/>
      <c r="D78" s="283"/>
      <c r="E78" s="260"/>
      <c r="F78" s="260"/>
    </row>
    <row r="79" spans="2:6" ht="22.5" customHeight="1">
      <c r="B79" s="260"/>
      <c r="C79" s="260"/>
      <c r="D79" s="284" t="s">
        <v>333</v>
      </c>
      <c r="E79" s="913">
        <f>E58</f>
        <v>0</v>
      </c>
      <c r="F79" s="913"/>
    </row>
    <row r="80" spans="2:6" ht="22.5" customHeight="1">
      <c r="B80" s="260"/>
      <c r="C80" s="260"/>
      <c r="D80" s="284"/>
      <c r="E80" s="260"/>
      <c r="F80" s="260"/>
    </row>
    <row r="81" spans="2:6" ht="22.5" customHeight="1">
      <c r="B81" s="260"/>
      <c r="C81" s="260"/>
      <c r="D81" s="284" t="s">
        <v>334</v>
      </c>
      <c r="E81" s="913">
        <f>E60</f>
        <v>0</v>
      </c>
      <c r="F81" s="913"/>
    </row>
    <row r="82" spans="2:6" ht="22.5" customHeight="1">
      <c r="B82" s="260"/>
      <c r="C82" s="260"/>
      <c r="D82" s="260"/>
      <c r="E82" s="260"/>
      <c r="F82" s="260"/>
    </row>
    <row r="83" spans="2:6" ht="22.5" customHeight="1">
      <c r="B83" s="260"/>
      <c r="C83" s="260"/>
      <c r="D83" s="260"/>
      <c r="E83" s="260"/>
      <c r="F83" s="260"/>
    </row>
    <row r="84" spans="2:6" ht="22.5" customHeight="1">
      <c r="B84" s="260"/>
      <c r="C84" s="260"/>
      <c r="D84" s="260"/>
      <c r="E84" s="260"/>
      <c r="F84" s="260"/>
    </row>
    <row r="85" ht="22.5" customHeight="1">
      <c r="A85" s="261" t="s">
        <v>748</v>
      </c>
    </row>
    <row r="86" spans="2:6" ht="22.5" customHeight="1">
      <c r="B86" s="260" t="s">
        <v>331</v>
      </c>
      <c r="C86" s="260"/>
      <c r="D86" s="260"/>
      <c r="E86" s="260"/>
      <c r="F86" s="260"/>
    </row>
    <row r="87" spans="2:6" ht="22.5" customHeight="1">
      <c r="B87" s="260"/>
      <c r="C87" s="260"/>
      <c r="D87" s="260"/>
      <c r="E87" s="260"/>
      <c r="F87" s="260"/>
    </row>
    <row r="88" spans="2:6" ht="22.5" customHeight="1">
      <c r="B88" s="260"/>
      <c r="C88" s="260"/>
      <c r="D88" s="260"/>
      <c r="E88" s="260"/>
      <c r="F88" s="260"/>
    </row>
    <row r="89" spans="2:6" ht="22.5" customHeight="1">
      <c r="B89" s="260"/>
      <c r="C89" s="260"/>
      <c r="D89" s="260"/>
      <c r="E89" s="260"/>
      <c r="F89" s="260"/>
    </row>
    <row r="90" spans="1:6" ht="22.5" customHeight="1">
      <c r="A90" s="909" t="s">
        <v>332</v>
      </c>
      <c r="B90" s="909"/>
      <c r="C90" s="909"/>
      <c r="D90" s="909"/>
      <c r="E90" s="909"/>
      <c r="F90" s="909"/>
    </row>
    <row r="91" spans="2:6" ht="22.5" customHeight="1">
      <c r="B91" s="260"/>
      <c r="C91" s="260"/>
      <c r="D91" s="283"/>
      <c r="E91" s="260"/>
      <c r="F91" s="260"/>
    </row>
    <row r="92" spans="2:6" ht="22.5" customHeight="1">
      <c r="B92" s="260"/>
      <c r="C92" s="260"/>
      <c r="D92" s="283"/>
      <c r="E92" s="260"/>
      <c r="F92" s="260"/>
    </row>
    <row r="93" spans="2:6" ht="22.5" customHeight="1">
      <c r="B93" s="260"/>
      <c r="C93" s="260"/>
      <c r="D93" s="283"/>
      <c r="E93" s="260"/>
      <c r="F93" s="260"/>
    </row>
    <row r="94" spans="2:6" ht="22.5" customHeight="1">
      <c r="B94" s="260"/>
      <c r="C94" s="260"/>
      <c r="D94" s="283"/>
      <c r="E94" s="260"/>
      <c r="F94" s="260"/>
    </row>
    <row r="95" spans="2:6" ht="22.5" customHeight="1">
      <c r="B95" s="260"/>
      <c r="C95" s="260"/>
      <c r="D95" s="914">
        <f>機械2_カタログ原本証明日</f>
        <v>0</v>
      </c>
      <c r="E95" s="914"/>
      <c r="F95" s="260"/>
    </row>
    <row r="96" spans="2:6" ht="22.5" customHeight="1">
      <c r="B96" s="260"/>
      <c r="C96" s="260"/>
      <c r="D96" s="283"/>
      <c r="E96" s="260"/>
      <c r="F96" s="260"/>
    </row>
    <row r="97" spans="2:6" ht="22.5" customHeight="1">
      <c r="B97" s="260"/>
      <c r="C97" s="260"/>
      <c r="D97" s="283"/>
      <c r="E97" s="260"/>
      <c r="F97" s="260"/>
    </row>
    <row r="98" spans="2:6" ht="22.5" customHeight="1">
      <c r="B98" s="260"/>
      <c r="C98" s="260"/>
      <c r="D98" s="284" t="s">
        <v>333</v>
      </c>
      <c r="E98" s="915">
        <f>機械2_現地納入業者_所在地</f>
        <v>0</v>
      </c>
      <c r="F98" s="915"/>
    </row>
    <row r="99" spans="2:6" ht="22.5" customHeight="1">
      <c r="B99" s="260"/>
      <c r="C99" s="260"/>
      <c r="D99" s="285"/>
      <c r="E99" s="283"/>
      <c r="F99" s="260"/>
    </row>
    <row r="100" spans="2:6" ht="22.5" customHeight="1">
      <c r="B100" s="260"/>
      <c r="C100" s="260"/>
      <c r="D100" s="284" t="s">
        <v>334</v>
      </c>
      <c r="E100" s="915">
        <f>機械2_現地納入業者_名称</f>
        <v>0</v>
      </c>
      <c r="F100" s="915"/>
    </row>
    <row r="101" ht="22.5" customHeight="1">
      <c r="B101" s="260"/>
    </row>
    <row r="102" spans="2:6" ht="22.5" customHeight="1">
      <c r="B102" s="260"/>
      <c r="C102" s="281"/>
      <c r="D102" s="286"/>
      <c r="E102" s="286"/>
      <c r="F102" s="286"/>
    </row>
    <row r="103" spans="2:6" ht="22.5" customHeight="1">
      <c r="B103" s="260"/>
      <c r="C103" s="281"/>
      <c r="D103" s="287" t="s">
        <v>335</v>
      </c>
      <c r="E103" s="288" t="s">
        <v>313</v>
      </c>
      <c r="F103" s="288" t="s">
        <v>1167</v>
      </c>
    </row>
    <row r="104" spans="2:6" ht="22.5" customHeight="1">
      <c r="B104" s="260"/>
      <c r="C104" s="281"/>
      <c r="D104" s="911"/>
      <c r="E104" s="912">
        <f>借受団体_団体名</f>
        <v>0</v>
      </c>
      <c r="F104" s="49">
        <f>借受者名_漢字</f>
        <v>0</v>
      </c>
    </row>
    <row r="105" spans="2:6" ht="22.5" customHeight="1">
      <c r="B105" s="260"/>
      <c r="C105" s="281"/>
      <c r="D105" s="911"/>
      <c r="E105" s="912"/>
      <c r="F105" s="49">
        <f>T(代表者名_漢字)</f>
      </c>
    </row>
    <row r="107" spans="2:6" ht="22.5" customHeight="1">
      <c r="B107" s="260" t="s">
        <v>336</v>
      </c>
      <c r="C107" s="260"/>
      <c r="D107" s="260"/>
      <c r="E107" s="260"/>
      <c r="F107" s="260"/>
    </row>
    <row r="108" spans="2:6" ht="22.5" customHeight="1">
      <c r="B108" s="260"/>
      <c r="C108" s="260"/>
      <c r="D108" s="260"/>
      <c r="E108" s="907" t="s">
        <v>313</v>
      </c>
      <c r="F108" s="907">
        <f>E104</f>
        <v>0</v>
      </c>
    </row>
    <row r="109" spans="2:6" ht="22.5" customHeight="1">
      <c r="B109" s="260"/>
      <c r="C109" s="260"/>
      <c r="D109" s="260"/>
      <c r="E109" s="908"/>
      <c r="F109" s="908"/>
    </row>
    <row r="110" spans="2:6" ht="22.5" customHeight="1">
      <c r="B110" s="260"/>
      <c r="C110" s="260"/>
      <c r="D110" s="260"/>
      <c r="E110" s="907" t="s">
        <v>1167</v>
      </c>
      <c r="F110" s="289">
        <f>IF(F104="","",F104)</f>
        <v>0</v>
      </c>
    </row>
    <row r="111" spans="2:6" ht="22.5" customHeight="1">
      <c r="B111" s="260"/>
      <c r="C111" s="260"/>
      <c r="D111" s="260"/>
      <c r="E111" s="908"/>
      <c r="F111" s="290">
        <f>F105</f>
      </c>
    </row>
    <row r="112" spans="2:6" ht="22.5" customHeight="1">
      <c r="B112" s="260"/>
      <c r="C112" s="260"/>
      <c r="D112" s="260"/>
      <c r="E112" s="260"/>
      <c r="F112" s="260"/>
    </row>
    <row r="113" spans="2:6" ht="22.5" customHeight="1">
      <c r="B113" s="260"/>
      <c r="C113" s="260"/>
      <c r="D113" s="283"/>
      <c r="E113" s="260"/>
      <c r="F113" s="260"/>
    </row>
    <row r="114" spans="1:6" ht="22.5" customHeight="1">
      <c r="A114" s="909" t="s">
        <v>332</v>
      </c>
      <c r="B114" s="909"/>
      <c r="C114" s="909"/>
      <c r="D114" s="909"/>
      <c r="E114" s="909"/>
      <c r="F114" s="909"/>
    </row>
    <row r="115" spans="2:6" ht="22.5" customHeight="1">
      <c r="B115" s="260"/>
      <c r="C115" s="260"/>
      <c r="D115" s="283"/>
      <c r="E115" s="260"/>
      <c r="F115" s="260"/>
    </row>
    <row r="116" spans="2:6" ht="22.5" customHeight="1">
      <c r="B116" s="260"/>
      <c r="C116" s="260"/>
      <c r="D116" s="283"/>
      <c r="E116" s="260"/>
      <c r="F116" s="260"/>
    </row>
    <row r="117" spans="2:6" ht="22.5" customHeight="1">
      <c r="B117" s="260"/>
      <c r="C117" s="260"/>
      <c r="D117" s="283"/>
      <c r="E117" s="260"/>
      <c r="F117" s="260"/>
    </row>
    <row r="118" spans="2:6" ht="22.5" customHeight="1">
      <c r="B118" s="260"/>
      <c r="C118" s="260"/>
      <c r="D118" s="910">
        <f>D95</f>
        <v>0</v>
      </c>
      <c r="E118" s="910"/>
      <c r="F118" s="260"/>
    </row>
    <row r="119" spans="2:6" ht="22.5" customHeight="1">
      <c r="B119" s="260"/>
      <c r="C119" s="260"/>
      <c r="D119" s="283"/>
      <c r="E119" s="260"/>
      <c r="F119" s="260"/>
    </row>
    <row r="120" spans="2:6" ht="22.5" customHeight="1">
      <c r="B120" s="260"/>
      <c r="C120" s="260"/>
      <c r="D120" s="283"/>
      <c r="E120" s="260"/>
      <c r="F120" s="260"/>
    </row>
    <row r="121" spans="2:6" ht="22.5" customHeight="1">
      <c r="B121" s="260"/>
      <c r="C121" s="260"/>
      <c r="D121" s="284" t="s">
        <v>333</v>
      </c>
      <c r="E121" s="913">
        <f>E98</f>
        <v>0</v>
      </c>
      <c r="F121" s="913"/>
    </row>
    <row r="122" spans="2:6" ht="22.5" customHeight="1">
      <c r="B122" s="260"/>
      <c r="C122" s="260"/>
      <c r="D122" s="284"/>
      <c r="E122" s="260"/>
      <c r="F122" s="260"/>
    </row>
    <row r="123" spans="2:6" ht="22.5" customHeight="1">
      <c r="B123" s="260"/>
      <c r="C123" s="260"/>
      <c r="D123" s="284" t="s">
        <v>334</v>
      </c>
      <c r="E123" s="913">
        <f>E100</f>
        <v>0</v>
      </c>
      <c r="F123" s="913"/>
    </row>
    <row r="124" spans="2:6" ht="22.5" customHeight="1">
      <c r="B124" s="260"/>
      <c r="C124" s="260"/>
      <c r="D124" s="260"/>
      <c r="E124" s="260"/>
      <c r="F124" s="260"/>
    </row>
    <row r="125" spans="2:6" ht="22.5" customHeight="1">
      <c r="B125" s="260"/>
      <c r="C125" s="260"/>
      <c r="D125" s="260"/>
      <c r="E125" s="260"/>
      <c r="F125" s="260"/>
    </row>
    <row r="126" spans="2:6" ht="22.5" customHeight="1">
      <c r="B126" s="260"/>
      <c r="C126" s="260"/>
      <c r="D126" s="260"/>
      <c r="E126" s="260"/>
      <c r="F126" s="260"/>
    </row>
    <row r="128" spans="2:6" ht="22.5" customHeight="1">
      <c r="B128" s="260" t="s">
        <v>337</v>
      </c>
      <c r="C128" s="260"/>
      <c r="D128" s="260"/>
      <c r="E128" s="260"/>
      <c r="F128" s="260"/>
    </row>
    <row r="129" spans="2:6" ht="22.5" customHeight="1">
      <c r="B129" s="260"/>
      <c r="C129" s="260"/>
      <c r="D129" s="260"/>
      <c r="E129" s="907" t="s">
        <v>313</v>
      </c>
      <c r="F129" s="907">
        <f>F108</f>
        <v>0</v>
      </c>
    </row>
    <row r="130" spans="2:6" ht="22.5" customHeight="1">
      <c r="B130" s="260"/>
      <c r="C130" s="260"/>
      <c r="D130" s="260"/>
      <c r="E130" s="908"/>
      <c r="F130" s="908"/>
    </row>
    <row r="131" spans="2:6" ht="22.5" customHeight="1">
      <c r="B131" s="260"/>
      <c r="C131" s="260"/>
      <c r="D131" s="260"/>
      <c r="E131" s="907" t="s">
        <v>1167</v>
      </c>
      <c r="F131" s="289">
        <f>IF(F110="","",F110)</f>
        <v>0</v>
      </c>
    </row>
    <row r="132" spans="2:6" ht="22.5" customHeight="1">
      <c r="B132" s="260"/>
      <c r="C132" s="260"/>
      <c r="D132" s="260"/>
      <c r="E132" s="908"/>
      <c r="F132" s="290">
        <f>F111</f>
      </c>
    </row>
    <row r="133" spans="2:6" ht="22.5" customHeight="1">
      <c r="B133" s="260"/>
      <c r="C133" s="260"/>
      <c r="D133" s="260"/>
      <c r="E133" s="260"/>
      <c r="F133" s="260"/>
    </row>
    <row r="134" spans="2:6" ht="22.5" customHeight="1">
      <c r="B134" s="260"/>
      <c r="C134" s="260"/>
      <c r="D134" s="283"/>
      <c r="E134" s="260"/>
      <c r="F134" s="260"/>
    </row>
    <row r="135" spans="1:6" ht="22.5" customHeight="1">
      <c r="A135" s="909" t="s">
        <v>332</v>
      </c>
      <c r="B135" s="909"/>
      <c r="C135" s="909"/>
      <c r="D135" s="909"/>
      <c r="E135" s="909"/>
      <c r="F135" s="909"/>
    </row>
    <row r="136" spans="2:6" ht="22.5" customHeight="1">
      <c r="B136" s="260"/>
      <c r="C136" s="260"/>
      <c r="D136" s="283"/>
      <c r="E136" s="260"/>
      <c r="F136" s="260"/>
    </row>
    <row r="137" spans="2:6" ht="22.5" customHeight="1">
      <c r="B137" s="260"/>
      <c r="C137" s="260"/>
      <c r="D137" s="283"/>
      <c r="E137" s="260"/>
      <c r="F137" s="260"/>
    </row>
    <row r="138" spans="2:6" ht="22.5" customHeight="1">
      <c r="B138" s="260"/>
      <c r="C138" s="260"/>
      <c r="D138" s="283"/>
      <c r="E138" s="260"/>
      <c r="F138" s="260"/>
    </row>
    <row r="139" spans="2:6" ht="22.5" customHeight="1">
      <c r="B139" s="260"/>
      <c r="C139" s="260"/>
      <c r="D139" s="910">
        <f>D118</f>
        <v>0</v>
      </c>
      <c r="E139" s="910"/>
      <c r="F139" s="260"/>
    </row>
    <row r="140" spans="2:6" ht="22.5" customHeight="1">
      <c r="B140" s="260"/>
      <c r="C140" s="260"/>
      <c r="D140" s="283"/>
      <c r="E140" s="260"/>
      <c r="F140" s="260"/>
    </row>
    <row r="141" spans="2:6" ht="22.5" customHeight="1">
      <c r="B141" s="260"/>
      <c r="C141" s="260"/>
      <c r="D141" s="283"/>
      <c r="E141" s="260"/>
      <c r="F141" s="260"/>
    </row>
    <row r="142" spans="2:6" ht="22.5" customHeight="1">
      <c r="B142" s="260"/>
      <c r="C142" s="260"/>
      <c r="D142" s="284" t="s">
        <v>333</v>
      </c>
      <c r="E142" s="913">
        <f>E121</f>
        <v>0</v>
      </c>
      <c r="F142" s="913"/>
    </row>
    <row r="143" spans="2:6" ht="22.5" customHeight="1">
      <c r="B143" s="260"/>
      <c r="C143" s="260"/>
      <c r="D143" s="284"/>
      <c r="E143" s="260"/>
      <c r="F143" s="260"/>
    </row>
    <row r="144" spans="2:6" ht="22.5" customHeight="1">
      <c r="B144" s="260"/>
      <c r="C144" s="260"/>
      <c r="D144" s="284" t="s">
        <v>334</v>
      </c>
      <c r="E144" s="913">
        <f>E123</f>
        <v>0</v>
      </c>
      <c r="F144" s="913"/>
    </row>
    <row r="145" spans="2:6" ht="22.5" customHeight="1">
      <c r="B145" s="260"/>
      <c r="C145" s="260"/>
      <c r="D145" s="260"/>
      <c r="E145" s="260"/>
      <c r="F145" s="260"/>
    </row>
    <row r="146" spans="2:6" ht="22.5" customHeight="1">
      <c r="B146" s="260"/>
      <c r="C146" s="260"/>
      <c r="D146" s="260"/>
      <c r="E146" s="260"/>
      <c r="F146" s="260"/>
    </row>
    <row r="147" spans="2:6" ht="22.5" customHeight="1">
      <c r="B147" s="260"/>
      <c r="C147" s="260"/>
      <c r="D147" s="260"/>
      <c r="E147" s="260"/>
      <c r="F147" s="260"/>
    </row>
    <row r="149" spans="2:6" ht="22.5" customHeight="1">
      <c r="B149" s="260" t="s">
        <v>338</v>
      </c>
      <c r="C149" s="260"/>
      <c r="D149" s="260"/>
      <c r="E149" s="260"/>
      <c r="F149" s="260"/>
    </row>
    <row r="150" spans="2:6" ht="22.5" customHeight="1">
      <c r="B150" s="260"/>
      <c r="C150" s="260"/>
      <c r="D150" s="260"/>
      <c r="E150" s="907" t="s">
        <v>313</v>
      </c>
      <c r="F150" s="907">
        <f>F129</f>
        <v>0</v>
      </c>
    </row>
    <row r="151" spans="2:6" ht="22.5" customHeight="1">
      <c r="B151" s="260"/>
      <c r="C151" s="260"/>
      <c r="D151" s="260"/>
      <c r="E151" s="908"/>
      <c r="F151" s="908"/>
    </row>
    <row r="152" spans="2:6" ht="22.5" customHeight="1">
      <c r="B152" s="260"/>
      <c r="C152" s="260"/>
      <c r="D152" s="260"/>
      <c r="E152" s="907" t="s">
        <v>1167</v>
      </c>
      <c r="F152" s="289">
        <f>IF(F131="","",F131)</f>
        <v>0</v>
      </c>
    </row>
    <row r="153" spans="2:6" ht="22.5" customHeight="1">
      <c r="B153" s="260"/>
      <c r="C153" s="260"/>
      <c r="D153" s="260"/>
      <c r="E153" s="908"/>
      <c r="F153" s="290">
        <f>F132</f>
      </c>
    </row>
    <row r="154" spans="2:6" ht="22.5" customHeight="1">
      <c r="B154" s="260"/>
      <c r="C154" s="260"/>
      <c r="D154" s="260"/>
      <c r="E154" s="260"/>
      <c r="F154" s="260"/>
    </row>
    <row r="155" spans="2:6" ht="22.5" customHeight="1">
      <c r="B155" s="260"/>
      <c r="C155" s="260"/>
      <c r="D155" s="283"/>
      <c r="E155" s="260"/>
      <c r="F155" s="260"/>
    </row>
    <row r="156" spans="1:6" ht="22.5" customHeight="1">
      <c r="A156" s="909" t="s">
        <v>332</v>
      </c>
      <c r="B156" s="909"/>
      <c r="C156" s="909"/>
      <c r="D156" s="909"/>
      <c r="E156" s="909"/>
      <c r="F156" s="909"/>
    </row>
    <row r="157" spans="2:6" ht="22.5" customHeight="1">
      <c r="B157" s="260"/>
      <c r="C157" s="260"/>
      <c r="D157" s="283"/>
      <c r="E157" s="260"/>
      <c r="F157" s="260"/>
    </row>
    <row r="158" spans="2:6" ht="22.5" customHeight="1">
      <c r="B158" s="260"/>
      <c r="C158" s="260"/>
      <c r="D158" s="283"/>
      <c r="E158" s="260"/>
      <c r="F158" s="260"/>
    </row>
    <row r="159" spans="2:6" ht="22.5" customHeight="1">
      <c r="B159" s="260"/>
      <c r="C159" s="260"/>
      <c r="D159" s="283"/>
      <c r="E159" s="260"/>
      <c r="F159" s="260"/>
    </row>
    <row r="160" spans="2:6" ht="22.5" customHeight="1">
      <c r="B160" s="260"/>
      <c r="C160" s="260"/>
      <c r="D160" s="910">
        <f>D139</f>
        <v>0</v>
      </c>
      <c r="E160" s="910"/>
      <c r="F160" s="260"/>
    </row>
    <row r="161" spans="2:6" ht="22.5" customHeight="1">
      <c r="B161" s="260"/>
      <c r="C161" s="260"/>
      <c r="D161" s="283"/>
      <c r="E161" s="260"/>
      <c r="F161" s="260"/>
    </row>
    <row r="162" spans="2:6" ht="22.5" customHeight="1">
      <c r="B162" s="260"/>
      <c r="C162" s="260"/>
      <c r="D162" s="283"/>
      <c r="E162" s="260"/>
      <c r="F162" s="260"/>
    </row>
    <row r="163" spans="2:6" ht="22.5" customHeight="1">
      <c r="B163" s="260"/>
      <c r="C163" s="260"/>
      <c r="D163" s="284" t="s">
        <v>333</v>
      </c>
      <c r="E163" s="913">
        <f>E142</f>
        <v>0</v>
      </c>
      <c r="F163" s="913"/>
    </row>
    <row r="164" spans="2:6" ht="22.5" customHeight="1">
      <c r="B164" s="260"/>
      <c r="C164" s="260"/>
      <c r="D164" s="284"/>
      <c r="E164" s="260"/>
      <c r="F164" s="260"/>
    </row>
    <row r="165" spans="2:6" ht="22.5" customHeight="1">
      <c r="B165" s="260"/>
      <c r="C165" s="260"/>
      <c r="D165" s="284" t="s">
        <v>334</v>
      </c>
      <c r="E165" s="913">
        <f>E144</f>
        <v>0</v>
      </c>
      <c r="F165" s="913"/>
    </row>
    <row r="166" spans="2:6" ht="22.5" customHeight="1">
      <c r="B166" s="260"/>
      <c r="C166" s="260"/>
      <c r="D166" s="260"/>
      <c r="E166" s="260"/>
      <c r="F166" s="260"/>
    </row>
    <row r="167" spans="2:6" ht="22.5" customHeight="1">
      <c r="B167" s="260"/>
      <c r="C167" s="260"/>
      <c r="D167" s="260"/>
      <c r="E167" s="260"/>
      <c r="F167" s="260"/>
    </row>
    <row r="168" spans="2:6" ht="22.5" customHeight="1">
      <c r="B168" s="260"/>
      <c r="C168" s="260"/>
      <c r="D168" s="260"/>
      <c r="E168" s="260"/>
      <c r="F168" s="260"/>
    </row>
    <row r="169" ht="22.5" customHeight="1">
      <c r="A169" s="261" t="s">
        <v>748</v>
      </c>
    </row>
    <row r="170" spans="2:6" ht="22.5" customHeight="1">
      <c r="B170" s="260" t="s">
        <v>331</v>
      </c>
      <c r="C170" s="260"/>
      <c r="D170" s="260"/>
      <c r="E170" s="260"/>
      <c r="F170" s="260"/>
    </row>
    <row r="171" spans="2:6" ht="22.5" customHeight="1">
      <c r="B171" s="260"/>
      <c r="C171" s="260"/>
      <c r="D171" s="260"/>
      <c r="E171" s="260"/>
      <c r="F171" s="260"/>
    </row>
    <row r="172" spans="2:6" ht="22.5" customHeight="1">
      <c r="B172" s="260"/>
      <c r="C172" s="260"/>
      <c r="D172" s="260"/>
      <c r="E172" s="260"/>
      <c r="F172" s="260"/>
    </row>
    <row r="173" spans="2:6" ht="22.5" customHeight="1">
      <c r="B173" s="260"/>
      <c r="C173" s="260"/>
      <c r="D173" s="260"/>
      <c r="E173" s="260"/>
      <c r="F173" s="260"/>
    </row>
    <row r="174" spans="1:6" ht="22.5" customHeight="1">
      <c r="A174" s="909" t="s">
        <v>332</v>
      </c>
      <c r="B174" s="909"/>
      <c r="C174" s="909"/>
      <c r="D174" s="909"/>
      <c r="E174" s="909"/>
      <c r="F174" s="909"/>
    </row>
    <row r="175" spans="2:6" ht="22.5" customHeight="1">
      <c r="B175" s="260"/>
      <c r="C175" s="260"/>
      <c r="D175" s="283"/>
      <c r="E175" s="260"/>
      <c r="F175" s="260"/>
    </row>
    <row r="176" spans="2:6" ht="22.5" customHeight="1">
      <c r="B176" s="260"/>
      <c r="C176" s="260"/>
      <c r="D176" s="283"/>
      <c r="E176" s="260"/>
      <c r="F176" s="260"/>
    </row>
    <row r="177" spans="2:6" ht="22.5" customHeight="1">
      <c r="B177" s="260"/>
      <c r="C177" s="260"/>
      <c r="D177" s="283"/>
      <c r="E177" s="260"/>
      <c r="F177" s="260"/>
    </row>
    <row r="178" spans="2:6" ht="22.5" customHeight="1">
      <c r="B178" s="260"/>
      <c r="C178" s="260"/>
      <c r="D178" s="283"/>
      <c r="E178" s="260"/>
      <c r="F178" s="260"/>
    </row>
    <row r="179" spans="2:6" ht="22.5" customHeight="1">
      <c r="B179" s="260"/>
      <c r="C179" s="260"/>
      <c r="D179" s="914">
        <f>機械3_カタログ原本証明日</f>
        <v>0</v>
      </c>
      <c r="E179" s="914"/>
      <c r="F179" s="260"/>
    </row>
    <row r="180" spans="2:6" ht="22.5" customHeight="1">
      <c r="B180" s="260"/>
      <c r="C180" s="260"/>
      <c r="D180" s="283"/>
      <c r="E180" s="260"/>
      <c r="F180" s="260"/>
    </row>
    <row r="181" spans="2:6" ht="22.5" customHeight="1">
      <c r="B181" s="260"/>
      <c r="C181" s="260"/>
      <c r="D181" s="283"/>
      <c r="E181" s="260"/>
      <c r="F181" s="260"/>
    </row>
    <row r="182" spans="2:6" ht="22.5" customHeight="1">
      <c r="B182" s="260"/>
      <c r="C182" s="260"/>
      <c r="D182" s="284" t="s">
        <v>333</v>
      </c>
      <c r="E182" s="915">
        <f>機械3_現地納入業者_所在地</f>
        <v>0</v>
      </c>
      <c r="F182" s="915"/>
    </row>
    <row r="183" spans="2:6" ht="22.5" customHeight="1">
      <c r="B183" s="260"/>
      <c r="C183" s="260"/>
      <c r="D183" s="285"/>
      <c r="E183" s="283"/>
      <c r="F183" s="260"/>
    </row>
    <row r="184" spans="2:6" ht="22.5" customHeight="1">
      <c r="B184" s="260"/>
      <c r="C184" s="260"/>
      <c r="D184" s="284" t="s">
        <v>334</v>
      </c>
      <c r="E184" s="915">
        <f>機械3_現地納入業者_名称</f>
        <v>0</v>
      </c>
      <c r="F184" s="915"/>
    </row>
    <row r="185" ht="22.5" customHeight="1">
      <c r="B185" s="260"/>
    </row>
    <row r="186" spans="2:6" ht="22.5" customHeight="1">
      <c r="B186" s="260"/>
      <c r="C186" s="281"/>
      <c r="D186" s="286"/>
      <c r="E186" s="286"/>
      <c r="F186" s="286"/>
    </row>
    <row r="187" spans="2:6" ht="22.5" customHeight="1">
      <c r="B187" s="260"/>
      <c r="C187" s="281"/>
      <c r="D187" s="287" t="s">
        <v>335</v>
      </c>
      <c r="E187" s="288" t="s">
        <v>313</v>
      </c>
      <c r="F187" s="288" t="s">
        <v>1167</v>
      </c>
    </row>
    <row r="188" spans="2:6" ht="22.5" customHeight="1">
      <c r="B188" s="260"/>
      <c r="C188" s="281"/>
      <c r="D188" s="911"/>
      <c r="E188" s="912">
        <f>借受団体_団体名</f>
        <v>0</v>
      </c>
      <c r="F188" s="49">
        <f>借受者名_漢字</f>
        <v>0</v>
      </c>
    </row>
    <row r="189" spans="2:6" ht="22.5" customHeight="1">
      <c r="B189" s="260"/>
      <c r="C189" s="281"/>
      <c r="D189" s="911"/>
      <c r="E189" s="912"/>
      <c r="F189" s="49">
        <f>T(代表者名_漢字)</f>
      </c>
    </row>
    <row r="191" spans="2:6" ht="22.5" customHeight="1">
      <c r="B191" s="260" t="s">
        <v>336</v>
      </c>
      <c r="C191" s="260"/>
      <c r="D191" s="260"/>
      <c r="E191" s="260"/>
      <c r="F191" s="260"/>
    </row>
    <row r="192" spans="2:6" ht="22.5" customHeight="1">
      <c r="B192" s="260"/>
      <c r="C192" s="260"/>
      <c r="D192" s="260"/>
      <c r="E192" s="907" t="s">
        <v>313</v>
      </c>
      <c r="F192" s="907">
        <f>E188</f>
        <v>0</v>
      </c>
    </row>
    <row r="193" spans="2:6" ht="22.5" customHeight="1">
      <c r="B193" s="260"/>
      <c r="C193" s="260"/>
      <c r="D193" s="260"/>
      <c r="E193" s="908"/>
      <c r="F193" s="908"/>
    </row>
    <row r="194" spans="2:6" ht="22.5" customHeight="1">
      <c r="B194" s="260"/>
      <c r="C194" s="260"/>
      <c r="D194" s="260"/>
      <c r="E194" s="907" t="s">
        <v>1167</v>
      </c>
      <c r="F194" s="289">
        <f>IF(F188="","",F188)</f>
        <v>0</v>
      </c>
    </row>
    <row r="195" spans="2:6" ht="22.5" customHeight="1">
      <c r="B195" s="260"/>
      <c r="C195" s="260"/>
      <c r="D195" s="260"/>
      <c r="E195" s="908"/>
      <c r="F195" s="290">
        <f>F189</f>
      </c>
    </row>
    <row r="196" spans="2:6" ht="22.5" customHeight="1">
      <c r="B196" s="260"/>
      <c r="C196" s="260"/>
      <c r="D196" s="260"/>
      <c r="E196" s="260"/>
      <c r="F196" s="260"/>
    </row>
    <row r="197" spans="2:6" ht="22.5" customHeight="1">
      <c r="B197" s="260"/>
      <c r="C197" s="260"/>
      <c r="D197" s="283"/>
      <c r="E197" s="260"/>
      <c r="F197" s="260"/>
    </row>
    <row r="198" spans="1:6" ht="22.5" customHeight="1">
      <c r="A198" s="909" t="s">
        <v>332</v>
      </c>
      <c r="B198" s="909"/>
      <c r="C198" s="909"/>
      <c r="D198" s="909"/>
      <c r="E198" s="909"/>
      <c r="F198" s="909"/>
    </row>
    <row r="199" spans="2:6" ht="22.5" customHeight="1">
      <c r="B199" s="260"/>
      <c r="C199" s="260"/>
      <c r="D199" s="283"/>
      <c r="E199" s="260"/>
      <c r="F199" s="260"/>
    </row>
    <row r="200" spans="2:6" ht="22.5" customHeight="1">
      <c r="B200" s="260"/>
      <c r="C200" s="260"/>
      <c r="D200" s="283"/>
      <c r="E200" s="260"/>
      <c r="F200" s="260"/>
    </row>
    <row r="201" spans="2:6" ht="22.5" customHeight="1">
      <c r="B201" s="260"/>
      <c r="C201" s="260"/>
      <c r="D201" s="283"/>
      <c r="E201" s="260"/>
      <c r="F201" s="260"/>
    </row>
    <row r="202" spans="2:6" ht="22.5" customHeight="1">
      <c r="B202" s="260"/>
      <c r="C202" s="260"/>
      <c r="D202" s="910">
        <f>D179</f>
        <v>0</v>
      </c>
      <c r="E202" s="910"/>
      <c r="F202" s="260"/>
    </row>
    <row r="203" spans="2:6" ht="22.5" customHeight="1">
      <c r="B203" s="260"/>
      <c r="C203" s="260"/>
      <c r="D203" s="283"/>
      <c r="E203" s="260"/>
      <c r="F203" s="260"/>
    </row>
    <row r="204" spans="2:6" ht="22.5" customHeight="1">
      <c r="B204" s="260"/>
      <c r="C204" s="260"/>
      <c r="D204" s="283"/>
      <c r="E204" s="260"/>
      <c r="F204" s="260"/>
    </row>
    <row r="205" spans="2:6" ht="22.5" customHeight="1">
      <c r="B205" s="260"/>
      <c r="C205" s="260"/>
      <c r="D205" s="284" t="s">
        <v>333</v>
      </c>
      <c r="E205" s="913">
        <f>E182</f>
        <v>0</v>
      </c>
      <c r="F205" s="913"/>
    </row>
    <row r="206" spans="2:6" ht="22.5" customHeight="1">
      <c r="B206" s="260"/>
      <c r="C206" s="260"/>
      <c r="D206" s="284"/>
      <c r="E206" s="260"/>
      <c r="F206" s="260"/>
    </row>
    <row r="207" spans="2:6" ht="22.5" customHeight="1">
      <c r="B207" s="260"/>
      <c r="C207" s="260"/>
      <c r="D207" s="284" t="s">
        <v>334</v>
      </c>
      <c r="E207" s="913">
        <f>E184</f>
        <v>0</v>
      </c>
      <c r="F207" s="913"/>
    </row>
    <row r="208" spans="2:6" ht="22.5" customHeight="1">
      <c r="B208" s="260"/>
      <c r="C208" s="260"/>
      <c r="D208" s="260"/>
      <c r="E208" s="260"/>
      <c r="F208" s="260"/>
    </row>
    <row r="209" spans="2:6" ht="22.5" customHeight="1">
      <c r="B209" s="260"/>
      <c r="C209" s="260"/>
      <c r="D209" s="260"/>
      <c r="E209" s="260"/>
      <c r="F209" s="260"/>
    </row>
    <row r="210" spans="2:6" ht="22.5" customHeight="1">
      <c r="B210" s="260"/>
      <c r="C210" s="260"/>
      <c r="D210" s="260"/>
      <c r="E210" s="260"/>
      <c r="F210" s="260"/>
    </row>
    <row r="212" spans="2:6" ht="22.5" customHeight="1">
      <c r="B212" s="260" t="s">
        <v>337</v>
      </c>
      <c r="C212" s="260"/>
      <c r="D212" s="260"/>
      <c r="E212" s="260"/>
      <c r="F212" s="260"/>
    </row>
    <row r="213" spans="2:6" ht="22.5" customHeight="1">
      <c r="B213" s="260"/>
      <c r="C213" s="260"/>
      <c r="D213" s="260"/>
      <c r="E213" s="907" t="s">
        <v>313</v>
      </c>
      <c r="F213" s="907">
        <f>F192</f>
        <v>0</v>
      </c>
    </row>
    <row r="214" spans="2:6" ht="22.5" customHeight="1">
      <c r="B214" s="260"/>
      <c r="C214" s="260"/>
      <c r="D214" s="260"/>
      <c r="E214" s="908"/>
      <c r="F214" s="908"/>
    </row>
    <row r="215" spans="2:6" ht="22.5" customHeight="1">
      <c r="B215" s="260"/>
      <c r="C215" s="260"/>
      <c r="D215" s="260"/>
      <c r="E215" s="907" t="s">
        <v>1167</v>
      </c>
      <c r="F215" s="289">
        <f>IF(F194="","",F194)</f>
        <v>0</v>
      </c>
    </row>
    <row r="216" spans="2:6" ht="22.5" customHeight="1">
      <c r="B216" s="260"/>
      <c r="C216" s="260"/>
      <c r="D216" s="260"/>
      <c r="E216" s="908"/>
      <c r="F216" s="290">
        <f>F195</f>
      </c>
    </row>
    <row r="217" spans="2:6" ht="22.5" customHeight="1">
      <c r="B217" s="260"/>
      <c r="C217" s="260"/>
      <c r="D217" s="260"/>
      <c r="E217" s="260"/>
      <c r="F217" s="260"/>
    </row>
    <row r="218" spans="2:6" ht="22.5" customHeight="1">
      <c r="B218" s="260"/>
      <c r="C218" s="260"/>
      <c r="D218" s="283"/>
      <c r="E218" s="260"/>
      <c r="F218" s="260"/>
    </row>
    <row r="219" spans="1:6" ht="22.5" customHeight="1">
      <c r="A219" s="909" t="s">
        <v>332</v>
      </c>
      <c r="B219" s="909"/>
      <c r="C219" s="909"/>
      <c r="D219" s="909"/>
      <c r="E219" s="909"/>
      <c r="F219" s="909"/>
    </row>
    <row r="220" spans="2:6" ht="22.5" customHeight="1">
      <c r="B220" s="260"/>
      <c r="C220" s="260"/>
      <c r="D220" s="283"/>
      <c r="E220" s="260"/>
      <c r="F220" s="260"/>
    </row>
    <row r="221" spans="2:6" ht="22.5" customHeight="1">
      <c r="B221" s="260"/>
      <c r="C221" s="260"/>
      <c r="D221" s="283"/>
      <c r="E221" s="260"/>
      <c r="F221" s="260"/>
    </row>
    <row r="222" spans="2:6" ht="22.5" customHeight="1">
      <c r="B222" s="260"/>
      <c r="C222" s="260"/>
      <c r="D222" s="283"/>
      <c r="E222" s="260"/>
      <c r="F222" s="260"/>
    </row>
    <row r="223" spans="2:6" ht="22.5" customHeight="1">
      <c r="B223" s="260"/>
      <c r="C223" s="260"/>
      <c r="D223" s="910">
        <f>D202</f>
        <v>0</v>
      </c>
      <c r="E223" s="910"/>
      <c r="F223" s="260"/>
    </row>
    <row r="224" spans="2:6" ht="22.5" customHeight="1">
      <c r="B224" s="260"/>
      <c r="C224" s="260"/>
      <c r="D224" s="283"/>
      <c r="E224" s="260"/>
      <c r="F224" s="260"/>
    </row>
    <row r="225" spans="2:6" ht="22.5" customHeight="1">
      <c r="B225" s="260"/>
      <c r="C225" s="260"/>
      <c r="D225" s="283"/>
      <c r="E225" s="260"/>
      <c r="F225" s="260"/>
    </row>
    <row r="226" spans="2:6" ht="22.5" customHeight="1">
      <c r="B226" s="260"/>
      <c r="C226" s="260"/>
      <c r="D226" s="284" t="s">
        <v>333</v>
      </c>
      <c r="E226" s="913">
        <f>E205</f>
        <v>0</v>
      </c>
      <c r="F226" s="913"/>
    </row>
    <row r="227" spans="2:6" ht="22.5" customHeight="1">
      <c r="B227" s="260"/>
      <c r="C227" s="260"/>
      <c r="D227" s="284"/>
      <c r="E227" s="260"/>
      <c r="F227" s="260"/>
    </row>
    <row r="228" spans="2:6" ht="22.5" customHeight="1">
      <c r="B228" s="260"/>
      <c r="C228" s="260"/>
      <c r="D228" s="284" t="s">
        <v>334</v>
      </c>
      <c r="E228" s="913">
        <f>E207</f>
        <v>0</v>
      </c>
      <c r="F228" s="913"/>
    </row>
    <row r="229" spans="2:6" ht="22.5" customHeight="1">
      <c r="B229" s="260"/>
      <c r="C229" s="260"/>
      <c r="D229" s="260"/>
      <c r="E229" s="260"/>
      <c r="F229" s="260"/>
    </row>
    <row r="230" spans="2:6" ht="22.5" customHeight="1">
      <c r="B230" s="260"/>
      <c r="C230" s="260"/>
      <c r="D230" s="260"/>
      <c r="E230" s="260"/>
      <c r="F230" s="260"/>
    </row>
    <row r="231" spans="2:6" ht="22.5" customHeight="1">
      <c r="B231" s="260"/>
      <c r="C231" s="260"/>
      <c r="D231" s="260"/>
      <c r="E231" s="260"/>
      <c r="F231" s="260"/>
    </row>
    <row r="233" spans="2:6" ht="22.5" customHeight="1">
      <c r="B233" s="260" t="s">
        <v>338</v>
      </c>
      <c r="C233" s="260"/>
      <c r="D233" s="260"/>
      <c r="E233" s="260"/>
      <c r="F233" s="260"/>
    </row>
    <row r="234" spans="2:6" ht="22.5" customHeight="1">
      <c r="B234" s="260"/>
      <c r="C234" s="260"/>
      <c r="D234" s="260"/>
      <c r="E234" s="907" t="s">
        <v>313</v>
      </c>
      <c r="F234" s="907">
        <f>F213</f>
        <v>0</v>
      </c>
    </row>
    <row r="235" spans="2:6" ht="22.5" customHeight="1">
      <c r="B235" s="260"/>
      <c r="C235" s="260"/>
      <c r="D235" s="260"/>
      <c r="E235" s="908"/>
      <c r="F235" s="908"/>
    </row>
    <row r="236" spans="2:6" ht="22.5" customHeight="1">
      <c r="B236" s="260"/>
      <c r="C236" s="260"/>
      <c r="D236" s="260"/>
      <c r="E236" s="907" t="s">
        <v>1167</v>
      </c>
      <c r="F236" s="289">
        <f>IF(F215="","",F215)</f>
        <v>0</v>
      </c>
    </row>
    <row r="237" spans="2:6" ht="22.5" customHeight="1">
      <c r="B237" s="260"/>
      <c r="C237" s="260"/>
      <c r="D237" s="260"/>
      <c r="E237" s="908"/>
      <c r="F237" s="290">
        <f>F216</f>
      </c>
    </row>
    <row r="238" spans="2:6" ht="22.5" customHeight="1">
      <c r="B238" s="260"/>
      <c r="C238" s="260"/>
      <c r="D238" s="260"/>
      <c r="E238" s="260"/>
      <c r="F238" s="260"/>
    </row>
    <row r="239" spans="2:6" ht="22.5" customHeight="1">
      <c r="B239" s="260"/>
      <c r="C239" s="260"/>
      <c r="D239" s="283"/>
      <c r="E239" s="260"/>
      <c r="F239" s="260"/>
    </row>
    <row r="240" spans="1:6" ht="22.5" customHeight="1">
      <c r="A240" s="909" t="s">
        <v>332</v>
      </c>
      <c r="B240" s="909"/>
      <c r="C240" s="909"/>
      <c r="D240" s="909"/>
      <c r="E240" s="909"/>
      <c r="F240" s="909"/>
    </row>
    <row r="241" spans="2:6" ht="22.5" customHeight="1">
      <c r="B241" s="260"/>
      <c r="C241" s="260"/>
      <c r="D241" s="283"/>
      <c r="E241" s="260"/>
      <c r="F241" s="260"/>
    </row>
    <row r="242" spans="2:6" ht="22.5" customHeight="1">
      <c r="B242" s="260"/>
      <c r="C242" s="260"/>
      <c r="D242" s="283"/>
      <c r="E242" s="260"/>
      <c r="F242" s="260"/>
    </row>
    <row r="243" spans="2:6" ht="22.5" customHeight="1">
      <c r="B243" s="260"/>
      <c r="C243" s="260"/>
      <c r="D243" s="283"/>
      <c r="E243" s="260"/>
      <c r="F243" s="260"/>
    </row>
    <row r="244" spans="2:6" ht="22.5" customHeight="1">
      <c r="B244" s="260"/>
      <c r="C244" s="260"/>
      <c r="D244" s="910">
        <f>D223</f>
        <v>0</v>
      </c>
      <c r="E244" s="910"/>
      <c r="F244" s="260"/>
    </row>
    <row r="245" spans="2:6" ht="22.5" customHeight="1">
      <c r="B245" s="260"/>
      <c r="C245" s="260"/>
      <c r="D245" s="283"/>
      <c r="E245" s="260"/>
      <c r="F245" s="260"/>
    </row>
    <row r="246" spans="2:6" ht="22.5" customHeight="1">
      <c r="B246" s="260"/>
      <c r="C246" s="260"/>
      <c r="D246" s="283"/>
      <c r="E246" s="260"/>
      <c r="F246" s="260"/>
    </row>
    <row r="247" spans="2:6" ht="22.5" customHeight="1">
      <c r="B247" s="260"/>
      <c r="C247" s="260"/>
      <c r="D247" s="284" t="s">
        <v>333</v>
      </c>
      <c r="E247" s="913">
        <f>E226</f>
        <v>0</v>
      </c>
      <c r="F247" s="913"/>
    </row>
    <row r="248" spans="2:6" ht="22.5" customHeight="1">
      <c r="B248" s="260"/>
      <c r="C248" s="260"/>
      <c r="D248" s="284"/>
      <c r="E248" s="260"/>
      <c r="F248" s="260"/>
    </row>
    <row r="249" spans="2:6" ht="22.5" customHeight="1">
      <c r="B249" s="260"/>
      <c r="C249" s="260"/>
      <c r="D249" s="284" t="s">
        <v>334</v>
      </c>
      <c r="E249" s="913">
        <f>E228</f>
        <v>0</v>
      </c>
      <c r="F249" s="913"/>
    </row>
    <row r="250" spans="2:6" ht="22.5" customHeight="1">
      <c r="B250" s="260"/>
      <c r="C250" s="260"/>
      <c r="D250" s="260"/>
      <c r="E250" s="260"/>
      <c r="F250" s="260"/>
    </row>
    <row r="251" spans="2:6" ht="22.5" customHeight="1">
      <c r="B251" s="260"/>
      <c r="C251" s="260"/>
      <c r="D251" s="260"/>
      <c r="E251" s="260"/>
      <c r="F251" s="260"/>
    </row>
    <row r="252" spans="2:6" ht="22.5" customHeight="1">
      <c r="B252" s="260"/>
      <c r="C252" s="260"/>
      <c r="D252" s="260"/>
      <c r="E252" s="260"/>
      <c r="F252" s="260"/>
    </row>
    <row r="253" ht="22.5" customHeight="1">
      <c r="A253" s="261" t="s">
        <v>748</v>
      </c>
    </row>
    <row r="254" spans="2:6" ht="22.5" customHeight="1">
      <c r="B254" s="260" t="s">
        <v>331</v>
      </c>
      <c r="C254" s="260"/>
      <c r="D254" s="260"/>
      <c r="E254" s="260"/>
      <c r="F254" s="260"/>
    </row>
    <row r="255" spans="2:6" ht="22.5" customHeight="1">
      <c r="B255" s="260"/>
      <c r="C255" s="260"/>
      <c r="D255" s="260"/>
      <c r="E255" s="260"/>
      <c r="F255" s="260"/>
    </row>
    <row r="256" spans="2:6" ht="22.5" customHeight="1">
      <c r="B256" s="260"/>
      <c r="C256" s="260"/>
      <c r="D256" s="260"/>
      <c r="E256" s="260"/>
      <c r="F256" s="260"/>
    </row>
    <row r="257" spans="2:6" ht="22.5" customHeight="1">
      <c r="B257" s="260"/>
      <c r="C257" s="260"/>
      <c r="D257" s="260"/>
      <c r="E257" s="260"/>
      <c r="F257" s="260"/>
    </row>
    <row r="258" spans="1:6" ht="22.5" customHeight="1">
      <c r="A258" s="909" t="s">
        <v>332</v>
      </c>
      <c r="B258" s="909"/>
      <c r="C258" s="909"/>
      <c r="D258" s="909"/>
      <c r="E258" s="909"/>
      <c r="F258" s="909"/>
    </row>
    <row r="259" spans="2:6" ht="22.5" customHeight="1">
      <c r="B259" s="260"/>
      <c r="C259" s="260"/>
      <c r="D259" s="283"/>
      <c r="E259" s="260"/>
      <c r="F259" s="260"/>
    </row>
    <row r="260" spans="2:6" ht="22.5" customHeight="1">
      <c r="B260" s="260"/>
      <c r="C260" s="260"/>
      <c r="D260" s="283"/>
      <c r="E260" s="260"/>
      <c r="F260" s="260"/>
    </row>
    <row r="261" spans="2:6" ht="22.5" customHeight="1">
      <c r="B261" s="260"/>
      <c r="C261" s="260"/>
      <c r="D261" s="283"/>
      <c r="E261" s="260"/>
      <c r="F261" s="260"/>
    </row>
    <row r="262" spans="2:6" ht="22.5" customHeight="1">
      <c r="B262" s="260"/>
      <c r="C262" s="260"/>
      <c r="D262" s="283"/>
      <c r="E262" s="260"/>
      <c r="F262" s="260"/>
    </row>
    <row r="263" spans="2:6" ht="22.5" customHeight="1">
      <c r="B263" s="260"/>
      <c r="C263" s="260"/>
      <c r="D263" s="914">
        <f>機械4_カタログ原本証明日</f>
        <v>0</v>
      </c>
      <c r="E263" s="914"/>
      <c r="F263" s="260"/>
    </row>
    <row r="264" spans="2:6" ht="22.5" customHeight="1">
      <c r="B264" s="260"/>
      <c r="C264" s="260"/>
      <c r="D264" s="283"/>
      <c r="E264" s="260"/>
      <c r="F264" s="260"/>
    </row>
    <row r="265" spans="2:6" ht="22.5" customHeight="1">
      <c r="B265" s="260"/>
      <c r="C265" s="260"/>
      <c r="D265" s="283"/>
      <c r="E265" s="260"/>
      <c r="F265" s="260"/>
    </row>
    <row r="266" spans="2:6" ht="22.5" customHeight="1">
      <c r="B266" s="260"/>
      <c r="C266" s="260"/>
      <c r="D266" s="284" t="s">
        <v>333</v>
      </c>
      <c r="E266" s="915">
        <f>機械4_現地納入業者_所在地</f>
        <v>0</v>
      </c>
      <c r="F266" s="915"/>
    </row>
    <row r="267" spans="2:6" ht="22.5" customHeight="1">
      <c r="B267" s="260"/>
      <c r="C267" s="260"/>
      <c r="D267" s="285"/>
      <c r="E267" s="283"/>
      <c r="F267" s="260"/>
    </row>
    <row r="268" spans="2:6" ht="22.5" customHeight="1">
      <c r="B268" s="260"/>
      <c r="C268" s="260"/>
      <c r="D268" s="284" t="s">
        <v>334</v>
      </c>
      <c r="E268" s="915">
        <f>機械4_現地納入業者_名称</f>
        <v>0</v>
      </c>
      <c r="F268" s="915"/>
    </row>
    <row r="269" ht="22.5" customHeight="1">
      <c r="B269" s="260"/>
    </row>
    <row r="270" spans="2:6" ht="22.5" customHeight="1">
      <c r="B270" s="260"/>
      <c r="C270" s="281"/>
      <c r="D270" s="286"/>
      <c r="E270" s="286"/>
      <c r="F270" s="286"/>
    </row>
    <row r="271" spans="2:6" ht="22.5" customHeight="1">
      <c r="B271" s="260"/>
      <c r="C271" s="281"/>
      <c r="D271" s="287" t="s">
        <v>335</v>
      </c>
      <c r="E271" s="288" t="s">
        <v>313</v>
      </c>
      <c r="F271" s="288" t="s">
        <v>1167</v>
      </c>
    </row>
    <row r="272" spans="2:6" ht="22.5" customHeight="1">
      <c r="B272" s="260"/>
      <c r="C272" s="281"/>
      <c r="D272" s="911"/>
      <c r="E272" s="912">
        <f>借受団体_団体名</f>
        <v>0</v>
      </c>
      <c r="F272" s="49">
        <f>借受者名_漢字</f>
        <v>0</v>
      </c>
    </row>
    <row r="273" spans="2:6" ht="22.5" customHeight="1">
      <c r="B273" s="260"/>
      <c r="C273" s="281"/>
      <c r="D273" s="911"/>
      <c r="E273" s="912"/>
      <c r="F273" s="49">
        <f>T(代表者名_漢字)</f>
      </c>
    </row>
    <row r="275" spans="2:6" ht="22.5" customHeight="1">
      <c r="B275" s="260" t="s">
        <v>336</v>
      </c>
      <c r="C275" s="260"/>
      <c r="D275" s="260"/>
      <c r="E275" s="260"/>
      <c r="F275" s="260"/>
    </row>
    <row r="276" spans="2:6" ht="22.5" customHeight="1">
      <c r="B276" s="260"/>
      <c r="C276" s="260"/>
      <c r="D276" s="260"/>
      <c r="E276" s="907" t="s">
        <v>313</v>
      </c>
      <c r="F276" s="907">
        <f>E272</f>
        <v>0</v>
      </c>
    </row>
    <row r="277" spans="2:6" ht="22.5" customHeight="1">
      <c r="B277" s="260"/>
      <c r="C277" s="260"/>
      <c r="D277" s="260"/>
      <c r="E277" s="908"/>
      <c r="F277" s="908"/>
    </row>
    <row r="278" spans="2:6" ht="22.5" customHeight="1">
      <c r="B278" s="260"/>
      <c r="C278" s="260"/>
      <c r="D278" s="260"/>
      <c r="E278" s="907" t="s">
        <v>1167</v>
      </c>
      <c r="F278" s="289">
        <f>IF(F272="","",F272)</f>
        <v>0</v>
      </c>
    </row>
    <row r="279" spans="2:6" ht="22.5" customHeight="1">
      <c r="B279" s="260"/>
      <c r="C279" s="260"/>
      <c r="D279" s="260"/>
      <c r="E279" s="908"/>
      <c r="F279" s="290">
        <f>F273</f>
      </c>
    </row>
    <row r="280" spans="2:6" ht="22.5" customHeight="1">
      <c r="B280" s="260"/>
      <c r="C280" s="260"/>
      <c r="D280" s="260"/>
      <c r="E280" s="260"/>
      <c r="F280" s="260"/>
    </row>
    <row r="281" spans="2:6" ht="22.5" customHeight="1">
      <c r="B281" s="260"/>
      <c r="C281" s="260"/>
      <c r="D281" s="283"/>
      <c r="E281" s="260"/>
      <c r="F281" s="260"/>
    </row>
    <row r="282" spans="1:6" ht="22.5" customHeight="1">
      <c r="A282" s="909" t="s">
        <v>332</v>
      </c>
      <c r="B282" s="909"/>
      <c r="C282" s="909"/>
      <c r="D282" s="909"/>
      <c r="E282" s="909"/>
      <c r="F282" s="909"/>
    </row>
    <row r="283" spans="2:6" ht="22.5" customHeight="1">
      <c r="B283" s="260"/>
      <c r="C283" s="260"/>
      <c r="D283" s="283"/>
      <c r="E283" s="260"/>
      <c r="F283" s="260"/>
    </row>
    <row r="284" spans="2:6" ht="22.5" customHeight="1">
      <c r="B284" s="260"/>
      <c r="C284" s="260"/>
      <c r="D284" s="283"/>
      <c r="E284" s="260"/>
      <c r="F284" s="260"/>
    </row>
    <row r="285" spans="2:6" ht="22.5" customHeight="1">
      <c r="B285" s="260"/>
      <c r="C285" s="260"/>
      <c r="D285" s="283"/>
      <c r="E285" s="260"/>
      <c r="F285" s="260"/>
    </row>
    <row r="286" spans="2:6" ht="22.5" customHeight="1">
      <c r="B286" s="260"/>
      <c r="C286" s="260"/>
      <c r="D286" s="910">
        <f>D263</f>
        <v>0</v>
      </c>
      <c r="E286" s="910"/>
      <c r="F286" s="260"/>
    </row>
    <row r="287" spans="2:6" ht="22.5" customHeight="1">
      <c r="B287" s="260"/>
      <c r="C287" s="260"/>
      <c r="D287" s="283"/>
      <c r="E287" s="260"/>
      <c r="F287" s="260"/>
    </row>
    <row r="288" spans="2:6" ht="22.5" customHeight="1">
      <c r="B288" s="260"/>
      <c r="C288" s="260"/>
      <c r="D288" s="283"/>
      <c r="E288" s="260"/>
      <c r="F288" s="260"/>
    </row>
    <row r="289" spans="2:6" ht="22.5" customHeight="1">
      <c r="B289" s="260"/>
      <c r="C289" s="260"/>
      <c r="D289" s="284" t="s">
        <v>333</v>
      </c>
      <c r="E289" s="913">
        <f>E266</f>
        <v>0</v>
      </c>
      <c r="F289" s="913"/>
    </row>
    <row r="290" spans="2:6" ht="22.5" customHeight="1">
      <c r="B290" s="260"/>
      <c r="C290" s="260"/>
      <c r="D290" s="284"/>
      <c r="E290" s="260"/>
      <c r="F290" s="260"/>
    </row>
    <row r="291" spans="2:6" ht="22.5" customHeight="1">
      <c r="B291" s="260"/>
      <c r="C291" s="260"/>
      <c r="D291" s="284" t="s">
        <v>334</v>
      </c>
      <c r="E291" s="913">
        <f>E268</f>
        <v>0</v>
      </c>
      <c r="F291" s="913"/>
    </row>
    <row r="292" spans="2:6" ht="22.5" customHeight="1">
      <c r="B292" s="260"/>
      <c r="C292" s="260"/>
      <c r="D292" s="260"/>
      <c r="E292" s="260"/>
      <c r="F292" s="260"/>
    </row>
    <row r="293" spans="2:6" ht="22.5" customHeight="1">
      <c r="B293" s="260"/>
      <c r="C293" s="260"/>
      <c r="D293" s="260"/>
      <c r="E293" s="260"/>
      <c r="F293" s="260"/>
    </row>
    <row r="294" spans="2:6" ht="22.5" customHeight="1">
      <c r="B294" s="260"/>
      <c r="C294" s="260"/>
      <c r="D294" s="260"/>
      <c r="E294" s="260"/>
      <c r="F294" s="260"/>
    </row>
    <row r="296" spans="2:6" ht="22.5" customHeight="1">
      <c r="B296" s="260" t="s">
        <v>337</v>
      </c>
      <c r="C296" s="260"/>
      <c r="D296" s="260"/>
      <c r="E296" s="260"/>
      <c r="F296" s="260"/>
    </row>
    <row r="297" spans="2:6" ht="22.5" customHeight="1">
      <c r="B297" s="260"/>
      <c r="C297" s="260"/>
      <c r="D297" s="260"/>
      <c r="E297" s="907" t="s">
        <v>313</v>
      </c>
      <c r="F297" s="907">
        <f>F276</f>
        <v>0</v>
      </c>
    </row>
    <row r="298" spans="2:6" ht="22.5" customHeight="1">
      <c r="B298" s="260"/>
      <c r="C298" s="260"/>
      <c r="D298" s="260"/>
      <c r="E298" s="908"/>
      <c r="F298" s="908"/>
    </row>
    <row r="299" spans="2:6" ht="22.5" customHeight="1">
      <c r="B299" s="260"/>
      <c r="C299" s="260"/>
      <c r="D299" s="260"/>
      <c r="E299" s="907" t="s">
        <v>1167</v>
      </c>
      <c r="F299" s="289">
        <f>IF(F278="","",F278)</f>
        <v>0</v>
      </c>
    </row>
    <row r="300" spans="2:6" ht="22.5" customHeight="1">
      <c r="B300" s="260"/>
      <c r="C300" s="260"/>
      <c r="D300" s="260"/>
      <c r="E300" s="908"/>
      <c r="F300" s="290">
        <f>F279</f>
      </c>
    </row>
    <row r="301" spans="2:6" ht="22.5" customHeight="1">
      <c r="B301" s="260"/>
      <c r="C301" s="260"/>
      <c r="D301" s="260"/>
      <c r="E301" s="260"/>
      <c r="F301" s="260"/>
    </row>
    <row r="302" spans="2:6" ht="22.5" customHeight="1">
      <c r="B302" s="260"/>
      <c r="C302" s="260"/>
      <c r="D302" s="283"/>
      <c r="E302" s="260"/>
      <c r="F302" s="260"/>
    </row>
    <row r="303" spans="1:6" ht="22.5" customHeight="1">
      <c r="A303" s="909" t="s">
        <v>332</v>
      </c>
      <c r="B303" s="909"/>
      <c r="C303" s="909"/>
      <c r="D303" s="909"/>
      <c r="E303" s="909"/>
      <c r="F303" s="909"/>
    </row>
    <row r="304" spans="2:6" ht="22.5" customHeight="1">
      <c r="B304" s="260"/>
      <c r="C304" s="260"/>
      <c r="D304" s="283"/>
      <c r="E304" s="260"/>
      <c r="F304" s="260"/>
    </row>
    <row r="305" spans="2:6" ht="22.5" customHeight="1">
      <c r="B305" s="260"/>
      <c r="C305" s="260"/>
      <c r="D305" s="283"/>
      <c r="E305" s="260"/>
      <c r="F305" s="260"/>
    </row>
    <row r="306" spans="2:6" ht="22.5" customHeight="1">
      <c r="B306" s="260"/>
      <c r="C306" s="260"/>
      <c r="D306" s="283"/>
      <c r="E306" s="260"/>
      <c r="F306" s="260"/>
    </row>
    <row r="307" spans="2:6" ht="22.5" customHeight="1">
      <c r="B307" s="260"/>
      <c r="C307" s="260"/>
      <c r="D307" s="910">
        <f>D286</f>
        <v>0</v>
      </c>
      <c r="E307" s="910"/>
      <c r="F307" s="260"/>
    </row>
    <row r="308" spans="2:6" ht="22.5" customHeight="1">
      <c r="B308" s="260"/>
      <c r="C308" s="260"/>
      <c r="D308" s="283"/>
      <c r="E308" s="260"/>
      <c r="F308" s="260"/>
    </row>
    <row r="309" spans="2:6" ht="22.5" customHeight="1">
      <c r="B309" s="260"/>
      <c r="C309" s="260"/>
      <c r="D309" s="283"/>
      <c r="E309" s="260"/>
      <c r="F309" s="260"/>
    </row>
    <row r="310" spans="2:6" ht="22.5" customHeight="1">
      <c r="B310" s="260"/>
      <c r="C310" s="260"/>
      <c r="D310" s="284" t="s">
        <v>333</v>
      </c>
      <c r="E310" s="913">
        <f>E289</f>
        <v>0</v>
      </c>
      <c r="F310" s="913"/>
    </row>
    <row r="311" spans="2:6" ht="22.5" customHeight="1">
      <c r="B311" s="260"/>
      <c r="C311" s="260"/>
      <c r="D311" s="284"/>
      <c r="E311" s="260"/>
      <c r="F311" s="260"/>
    </row>
    <row r="312" spans="2:6" ht="22.5" customHeight="1">
      <c r="B312" s="260"/>
      <c r="C312" s="260"/>
      <c r="D312" s="284" t="s">
        <v>334</v>
      </c>
      <c r="E312" s="913">
        <f>E291</f>
        <v>0</v>
      </c>
      <c r="F312" s="913"/>
    </row>
    <row r="313" spans="2:6" ht="22.5" customHeight="1">
      <c r="B313" s="260"/>
      <c r="C313" s="260"/>
      <c r="D313" s="260"/>
      <c r="E313" s="260"/>
      <c r="F313" s="260"/>
    </row>
    <row r="314" spans="2:6" ht="22.5" customHeight="1">
      <c r="B314" s="260"/>
      <c r="C314" s="260"/>
      <c r="D314" s="260"/>
      <c r="E314" s="260"/>
      <c r="F314" s="260"/>
    </row>
    <row r="315" spans="2:6" ht="22.5" customHeight="1">
      <c r="B315" s="260"/>
      <c r="C315" s="260"/>
      <c r="D315" s="260"/>
      <c r="E315" s="260"/>
      <c r="F315" s="260"/>
    </row>
    <row r="317" spans="2:6" ht="22.5" customHeight="1">
      <c r="B317" s="260" t="s">
        <v>338</v>
      </c>
      <c r="C317" s="260"/>
      <c r="D317" s="260"/>
      <c r="E317" s="260"/>
      <c r="F317" s="260"/>
    </row>
    <row r="318" spans="2:6" ht="22.5" customHeight="1">
      <c r="B318" s="260"/>
      <c r="C318" s="260"/>
      <c r="D318" s="260"/>
      <c r="E318" s="907" t="s">
        <v>313</v>
      </c>
      <c r="F318" s="907">
        <f>F297</f>
        <v>0</v>
      </c>
    </row>
    <row r="319" spans="2:6" ht="22.5" customHeight="1">
      <c r="B319" s="260"/>
      <c r="C319" s="260"/>
      <c r="D319" s="260"/>
      <c r="E319" s="908"/>
      <c r="F319" s="908"/>
    </row>
    <row r="320" spans="2:6" ht="22.5" customHeight="1">
      <c r="B320" s="260"/>
      <c r="C320" s="260"/>
      <c r="D320" s="260"/>
      <c r="E320" s="907" t="s">
        <v>1167</v>
      </c>
      <c r="F320" s="289">
        <f>IF(F299="","",F299)</f>
        <v>0</v>
      </c>
    </row>
    <row r="321" spans="2:6" ht="22.5" customHeight="1">
      <c r="B321" s="260"/>
      <c r="C321" s="260"/>
      <c r="D321" s="260"/>
      <c r="E321" s="908"/>
      <c r="F321" s="290">
        <f>F300</f>
      </c>
    </row>
    <row r="322" spans="2:6" ht="22.5" customHeight="1">
      <c r="B322" s="260"/>
      <c r="C322" s="260"/>
      <c r="D322" s="260"/>
      <c r="E322" s="260"/>
      <c r="F322" s="260"/>
    </row>
    <row r="323" spans="2:6" ht="22.5" customHeight="1">
      <c r="B323" s="260"/>
      <c r="C323" s="260"/>
      <c r="D323" s="283"/>
      <c r="E323" s="260"/>
      <c r="F323" s="260"/>
    </row>
    <row r="324" spans="1:6" ht="22.5" customHeight="1">
      <c r="A324" s="909" t="s">
        <v>332</v>
      </c>
      <c r="B324" s="909"/>
      <c r="C324" s="909"/>
      <c r="D324" s="909"/>
      <c r="E324" s="909"/>
      <c r="F324" s="909"/>
    </row>
    <row r="325" spans="2:6" ht="22.5" customHeight="1">
      <c r="B325" s="260"/>
      <c r="C325" s="260"/>
      <c r="D325" s="283"/>
      <c r="E325" s="260"/>
      <c r="F325" s="260"/>
    </row>
    <row r="326" spans="2:6" ht="22.5" customHeight="1">
      <c r="B326" s="260"/>
      <c r="C326" s="260"/>
      <c r="D326" s="283"/>
      <c r="E326" s="260"/>
      <c r="F326" s="260"/>
    </row>
    <row r="327" spans="2:6" ht="22.5" customHeight="1">
      <c r="B327" s="260"/>
      <c r="C327" s="260"/>
      <c r="D327" s="283"/>
      <c r="E327" s="260"/>
      <c r="F327" s="260"/>
    </row>
    <row r="328" spans="2:6" ht="22.5" customHeight="1">
      <c r="B328" s="260"/>
      <c r="C328" s="260"/>
      <c r="D328" s="910">
        <f>D307</f>
        <v>0</v>
      </c>
      <c r="E328" s="910"/>
      <c r="F328" s="260"/>
    </row>
    <row r="329" spans="2:6" ht="22.5" customHeight="1">
      <c r="B329" s="260"/>
      <c r="C329" s="260"/>
      <c r="D329" s="283"/>
      <c r="E329" s="260"/>
      <c r="F329" s="260"/>
    </row>
    <row r="330" spans="2:6" ht="22.5" customHeight="1">
      <c r="B330" s="260"/>
      <c r="C330" s="260"/>
      <c r="D330" s="283"/>
      <c r="E330" s="260"/>
      <c r="F330" s="260"/>
    </row>
    <row r="331" spans="2:6" ht="22.5" customHeight="1">
      <c r="B331" s="260"/>
      <c r="C331" s="260"/>
      <c r="D331" s="284" t="s">
        <v>333</v>
      </c>
      <c r="E331" s="913">
        <f>E310</f>
        <v>0</v>
      </c>
      <c r="F331" s="913"/>
    </row>
    <row r="332" spans="2:6" ht="22.5" customHeight="1">
      <c r="B332" s="260"/>
      <c r="C332" s="260"/>
      <c r="D332" s="284"/>
      <c r="E332" s="260"/>
      <c r="F332" s="260"/>
    </row>
    <row r="333" spans="2:6" ht="22.5" customHeight="1">
      <c r="B333" s="260"/>
      <c r="C333" s="260"/>
      <c r="D333" s="284" t="s">
        <v>334</v>
      </c>
      <c r="E333" s="913">
        <f>E312</f>
        <v>0</v>
      </c>
      <c r="F333" s="913"/>
    </row>
    <row r="334" spans="2:6" ht="22.5" customHeight="1">
      <c r="B334" s="260"/>
      <c r="C334" s="260"/>
      <c r="D334" s="260"/>
      <c r="E334" s="260"/>
      <c r="F334" s="260"/>
    </row>
    <row r="335" spans="2:6" ht="22.5" customHeight="1">
      <c r="B335" s="260"/>
      <c r="C335" s="260"/>
      <c r="D335" s="260"/>
      <c r="E335" s="260"/>
      <c r="F335" s="260"/>
    </row>
    <row r="336" spans="2:6" ht="22.5" customHeight="1">
      <c r="B336" s="260"/>
      <c r="C336" s="260"/>
      <c r="D336" s="260"/>
      <c r="E336" s="260"/>
      <c r="F336" s="260"/>
    </row>
  </sheetData>
  <sheetProtection password="C704" sheet="1" selectLockedCells="1" selectUnlockedCells="1"/>
  <mergeCells count="108">
    <mergeCell ref="E333:F333"/>
    <mergeCell ref="E318:E319"/>
    <mergeCell ref="F318:F319"/>
    <mergeCell ref="E320:E321"/>
    <mergeCell ref="A324:F324"/>
    <mergeCell ref="A303:F303"/>
    <mergeCell ref="D307:E307"/>
    <mergeCell ref="E310:F310"/>
    <mergeCell ref="E331:F331"/>
    <mergeCell ref="E312:F312"/>
    <mergeCell ref="D328:E328"/>
    <mergeCell ref="E278:E279"/>
    <mergeCell ref="A282:F282"/>
    <mergeCell ref="D286:E286"/>
    <mergeCell ref="E289:F289"/>
    <mergeCell ref="E291:F291"/>
    <mergeCell ref="E297:E298"/>
    <mergeCell ref="F297:F298"/>
    <mergeCell ref="E299:E300"/>
    <mergeCell ref="E266:F266"/>
    <mergeCell ref="E268:F268"/>
    <mergeCell ref="D272:D273"/>
    <mergeCell ref="E272:E273"/>
    <mergeCell ref="E226:F226"/>
    <mergeCell ref="E276:E277"/>
    <mergeCell ref="F276:F277"/>
    <mergeCell ref="E236:E237"/>
    <mergeCell ref="A240:F240"/>
    <mergeCell ref="D244:E244"/>
    <mergeCell ref="E247:F247"/>
    <mergeCell ref="E249:F249"/>
    <mergeCell ref="A258:F258"/>
    <mergeCell ref="D263:E263"/>
    <mergeCell ref="F213:F214"/>
    <mergeCell ref="E215:E216"/>
    <mergeCell ref="A219:F219"/>
    <mergeCell ref="D223:E223"/>
    <mergeCell ref="E192:E193"/>
    <mergeCell ref="F192:F193"/>
    <mergeCell ref="E228:F228"/>
    <mergeCell ref="E234:E235"/>
    <mergeCell ref="F234:F235"/>
    <mergeCell ref="A198:F198"/>
    <mergeCell ref="D202:E202"/>
    <mergeCell ref="E205:F205"/>
    <mergeCell ref="E207:F207"/>
    <mergeCell ref="E213:E214"/>
    <mergeCell ref="E194:E195"/>
    <mergeCell ref="D160:E160"/>
    <mergeCell ref="E163:F163"/>
    <mergeCell ref="E165:F165"/>
    <mergeCell ref="A174:F174"/>
    <mergeCell ref="D179:E179"/>
    <mergeCell ref="E182:F182"/>
    <mergeCell ref="E184:F184"/>
    <mergeCell ref="D188:D189"/>
    <mergeCell ref="E188:E189"/>
    <mergeCell ref="E142:F142"/>
    <mergeCell ref="E144:F144"/>
    <mergeCell ref="E150:E151"/>
    <mergeCell ref="F150:F151"/>
    <mergeCell ref="E110:E111"/>
    <mergeCell ref="A114:F114"/>
    <mergeCell ref="E152:E153"/>
    <mergeCell ref="A156:F156"/>
    <mergeCell ref="E123:F123"/>
    <mergeCell ref="E129:E130"/>
    <mergeCell ref="F129:F130"/>
    <mergeCell ref="E131:E132"/>
    <mergeCell ref="A135:F135"/>
    <mergeCell ref="D139:E139"/>
    <mergeCell ref="D118:E118"/>
    <mergeCell ref="E121:F121"/>
    <mergeCell ref="A90:F90"/>
    <mergeCell ref="D95:E95"/>
    <mergeCell ref="E98:F98"/>
    <mergeCell ref="E100:F100"/>
    <mergeCell ref="D104:D105"/>
    <mergeCell ref="E104:E105"/>
    <mergeCell ref="E108:E109"/>
    <mergeCell ref="F108:F109"/>
    <mergeCell ref="E58:F58"/>
    <mergeCell ref="E60:F60"/>
    <mergeCell ref="E66:E67"/>
    <mergeCell ref="F66:F67"/>
    <mergeCell ref="E79:F79"/>
    <mergeCell ref="E81:F81"/>
    <mergeCell ref="E68:E69"/>
    <mergeCell ref="A72:F72"/>
    <mergeCell ref="D76:E76"/>
    <mergeCell ref="A6:F6"/>
    <mergeCell ref="D11:E11"/>
    <mergeCell ref="E14:F14"/>
    <mergeCell ref="E16:F16"/>
    <mergeCell ref="A51:F51"/>
    <mergeCell ref="D55:E55"/>
    <mergeCell ref="E37:F37"/>
    <mergeCell ref="E39:F39"/>
    <mergeCell ref="E45:E46"/>
    <mergeCell ref="F45:F46"/>
    <mergeCell ref="E47:E48"/>
    <mergeCell ref="E26:E27"/>
    <mergeCell ref="A30:F30"/>
    <mergeCell ref="D34:E34"/>
    <mergeCell ref="D20:D21"/>
    <mergeCell ref="E20:E21"/>
    <mergeCell ref="E24:E25"/>
    <mergeCell ref="F24:F25"/>
  </mergeCells>
  <printOptions/>
  <pageMargins left="0.75" right="0.75" top="1" bottom="1" header="0.512" footer="0.512"/>
  <pageSetup blackAndWhite="1" fitToHeight="0" fitToWidth="1" horizontalDpi="300" verticalDpi="300" orientation="landscape" paperSize="9" r:id="rId1"/>
  <rowBreaks count="15" manualBreakCount="15">
    <brk id="21" max="5" man="1"/>
    <brk id="42" max="5" man="1"/>
    <brk id="63" max="5" man="1"/>
    <brk id="84" max="5" man="1"/>
    <brk id="105" max="5" man="1"/>
    <brk id="126" max="5" man="1"/>
    <brk id="147" max="5" man="1"/>
    <brk id="168" max="5" man="1"/>
    <brk id="189" max="5" man="1"/>
    <brk id="210" max="5" man="1"/>
    <brk id="231" max="5" man="1"/>
    <brk id="252" max="5" man="1"/>
    <brk id="273" max="5" man="1"/>
    <brk id="294" max="5" man="1"/>
    <brk id="315" max="5" man="1"/>
  </rowBreaks>
</worksheet>
</file>

<file path=xl/worksheets/sheet17.xml><?xml version="1.0" encoding="utf-8"?>
<worksheet xmlns="http://schemas.openxmlformats.org/spreadsheetml/2006/main" xmlns:r="http://schemas.openxmlformats.org/officeDocument/2006/relationships">
  <sheetPr codeName="shtQandA"/>
  <dimension ref="A1:B34"/>
  <sheetViews>
    <sheetView zoomScalePageLayoutView="0" workbookViewId="0" topLeftCell="A1">
      <selection activeCell="B23" sqref="B23"/>
    </sheetView>
  </sheetViews>
  <sheetFormatPr defaultColWidth="9.00390625" defaultRowHeight="18" customHeight="1"/>
  <cols>
    <col min="1" max="1" width="9.00390625" style="3" customWidth="1"/>
    <col min="2" max="2" width="65.375" style="1" bestFit="1" customWidth="1"/>
    <col min="3" max="16384" width="9.00390625" style="1" customWidth="1"/>
  </cols>
  <sheetData>
    <row r="1" spans="1:2" ht="18" customHeight="1">
      <c r="A1" s="916" t="s">
        <v>422</v>
      </c>
      <c r="B1" s="917"/>
    </row>
    <row r="2" spans="1:2" ht="18" customHeight="1">
      <c r="A2" s="3" t="s">
        <v>386</v>
      </c>
      <c r="B2" s="1" t="s">
        <v>396</v>
      </c>
    </row>
    <row r="3" spans="1:2" ht="18" customHeight="1">
      <c r="A3" s="3" t="s">
        <v>388</v>
      </c>
      <c r="B3" s="1" t="s">
        <v>397</v>
      </c>
    </row>
    <row r="4" ht="18" customHeight="1">
      <c r="B4" s="1" t="s">
        <v>398</v>
      </c>
    </row>
    <row r="5" ht="18" customHeight="1">
      <c r="B5" s="1" t="s">
        <v>399</v>
      </c>
    </row>
    <row r="6" ht="18" customHeight="1">
      <c r="B6" s="1" t="s">
        <v>400</v>
      </c>
    </row>
    <row r="8" spans="1:2" ht="18" customHeight="1">
      <c r="A8" s="3" t="s">
        <v>390</v>
      </c>
      <c r="B8" s="1" t="s">
        <v>387</v>
      </c>
    </row>
    <row r="9" spans="1:2" ht="18" customHeight="1">
      <c r="A9" s="3" t="s">
        <v>392</v>
      </c>
      <c r="B9" s="1" t="s">
        <v>389</v>
      </c>
    </row>
    <row r="11" spans="1:2" ht="18" customHeight="1">
      <c r="A11" s="3" t="s">
        <v>394</v>
      </c>
      <c r="B11" s="1" t="s">
        <v>391</v>
      </c>
    </row>
    <row r="12" spans="1:2" ht="18" customHeight="1">
      <c r="A12" s="3" t="s">
        <v>395</v>
      </c>
      <c r="B12" s="1" t="s">
        <v>393</v>
      </c>
    </row>
    <row r="14" spans="1:2" ht="18" customHeight="1">
      <c r="A14" s="3" t="s">
        <v>401</v>
      </c>
      <c r="B14" s="1" t="s">
        <v>402</v>
      </c>
    </row>
    <row r="15" spans="1:2" ht="18" customHeight="1">
      <c r="A15" s="3" t="s">
        <v>403</v>
      </c>
      <c r="B15" s="1" t="s">
        <v>404</v>
      </c>
    </row>
    <row r="16" ht="18" customHeight="1">
      <c r="B16" s="1" t="s">
        <v>405</v>
      </c>
    </row>
    <row r="18" spans="1:2" ht="18" customHeight="1">
      <c r="A18" s="3" t="s">
        <v>406</v>
      </c>
      <c r="B18" s="1" t="s">
        <v>407</v>
      </c>
    </row>
    <row r="19" spans="1:2" ht="18" customHeight="1">
      <c r="A19" s="3" t="s">
        <v>408</v>
      </c>
      <c r="B19" s="1" t="s">
        <v>409</v>
      </c>
    </row>
    <row r="20" ht="18" customHeight="1">
      <c r="B20" s="1" t="s">
        <v>410</v>
      </c>
    </row>
    <row r="22" spans="1:2" ht="18" customHeight="1">
      <c r="A22" s="3" t="s">
        <v>411</v>
      </c>
      <c r="B22" s="1" t="s">
        <v>412</v>
      </c>
    </row>
    <row r="23" spans="1:2" ht="18" customHeight="1">
      <c r="A23" s="3" t="s">
        <v>413</v>
      </c>
      <c r="B23" s="1" t="s">
        <v>414</v>
      </c>
    </row>
    <row r="24" ht="18" customHeight="1">
      <c r="B24" s="1" t="s">
        <v>415</v>
      </c>
    </row>
    <row r="25" ht="18" customHeight="1">
      <c r="B25" s="1" t="s">
        <v>419</v>
      </c>
    </row>
    <row r="26" ht="18" customHeight="1">
      <c r="B26" s="1" t="s">
        <v>421</v>
      </c>
    </row>
    <row r="28" spans="1:2" ht="18" customHeight="1">
      <c r="A28" s="3" t="s">
        <v>416</v>
      </c>
      <c r="B28" s="1" t="s">
        <v>417</v>
      </c>
    </row>
    <row r="29" spans="1:2" ht="18" customHeight="1">
      <c r="A29" s="3" t="s">
        <v>418</v>
      </c>
      <c r="B29" s="1" t="s">
        <v>414</v>
      </c>
    </row>
    <row r="30" ht="18" customHeight="1">
      <c r="B30" s="1" t="s">
        <v>420</v>
      </c>
    </row>
    <row r="31" ht="18" customHeight="1">
      <c r="B31" s="1" t="s">
        <v>421</v>
      </c>
    </row>
    <row r="33" spans="1:2" ht="18" customHeight="1">
      <c r="A33" s="3" t="s">
        <v>212</v>
      </c>
      <c r="B33" s="1" t="s">
        <v>213</v>
      </c>
    </row>
    <row r="34" spans="1:2" ht="18" customHeight="1">
      <c r="A34" s="3" t="s">
        <v>214</v>
      </c>
      <c r="B34" s="1" t="s">
        <v>215</v>
      </c>
    </row>
  </sheetData>
  <sheetProtection/>
  <mergeCells count="1">
    <mergeCell ref="A1:B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tData"/>
  <dimension ref="A1:IO1"/>
  <sheetViews>
    <sheetView zoomScalePageLayoutView="0" workbookViewId="0" topLeftCell="A1">
      <pane xSplit="4" ySplit="1" topLeftCell="FU2" activePane="bottomRight" state="frozen"/>
      <selection pane="topLeft" activeCell="J23" sqref="J23:N23"/>
      <selection pane="topRight" activeCell="J23" sqref="J23:N23"/>
      <selection pane="bottomLeft" activeCell="J23" sqref="J23:N23"/>
      <selection pane="bottomRight" activeCell="C13" sqref="C13"/>
    </sheetView>
  </sheetViews>
  <sheetFormatPr defaultColWidth="9.00390625" defaultRowHeight="13.5"/>
  <cols>
    <col min="1" max="1" width="3.25390625" style="106" bestFit="1" customWidth="1"/>
    <col min="2" max="2" width="7.50390625" style="105" bestFit="1" customWidth="1"/>
    <col min="3" max="3" width="13.375" style="105" bestFit="1" customWidth="1"/>
    <col min="4" max="4" width="12.75390625" style="105" customWidth="1"/>
    <col min="5" max="5" width="11.00390625" style="105" bestFit="1" customWidth="1"/>
    <col min="6" max="6" width="11.125" style="105" bestFit="1" customWidth="1"/>
    <col min="7" max="8" width="10.875" style="105" bestFit="1" customWidth="1"/>
    <col min="9" max="9" width="11.125" style="105" bestFit="1" customWidth="1"/>
    <col min="10" max="10" width="15.125" style="105" customWidth="1"/>
    <col min="11" max="13" width="11.125" style="105" bestFit="1" customWidth="1"/>
    <col min="14" max="16" width="11.625" style="105" bestFit="1" customWidth="1"/>
    <col min="17" max="18" width="14.00390625" style="105" customWidth="1"/>
    <col min="19" max="19" width="8.125" style="105" bestFit="1" customWidth="1"/>
    <col min="20" max="20" width="12.25390625" style="188" bestFit="1" customWidth="1"/>
    <col min="21" max="21" width="6.00390625" style="105" bestFit="1" customWidth="1"/>
    <col min="22" max="22" width="11.625" style="105" customWidth="1"/>
    <col min="23" max="23" width="17.125" style="105" customWidth="1"/>
    <col min="24" max="24" width="5.75390625" style="105" bestFit="1" customWidth="1"/>
    <col min="25" max="25" width="10.00390625" style="105" customWidth="1"/>
    <col min="26" max="26" width="8.75390625" style="105" bestFit="1" customWidth="1"/>
    <col min="27" max="27" width="7.25390625" style="105" bestFit="1" customWidth="1"/>
    <col min="28" max="28" width="15.50390625" style="107" customWidth="1"/>
    <col min="29" max="29" width="11.125" style="105" bestFit="1" customWidth="1"/>
    <col min="30" max="30" width="11.875" style="105" bestFit="1" customWidth="1"/>
    <col min="31" max="31" width="10.50390625" style="105" bestFit="1" customWidth="1"/>
    <col min="32" max="32" width="12.25390625" style="188" bestFit="1" customWidth="1"/>
    <col min="33" max="33" width="12.50390625" style="105" bestFit="1" customWidth="1"/>
    <col min="34" max="34" width="14.875" style="105" bestFit="1" customWidth="1"/>
    <col min="35" max="35" width="16.00390625" style="105" bestFit="1" customWidth="1"/>
    <col min="36" max="36" width="14.25390625" style="105" bestFit="1" customWidth="1"/>
    <col min="37" max="37" width="11.75390625" style="105" bestFit="1" customWidth="1"/>
    <col min="38" max="38" width="11.875" style="105" bestFit="1" customWidth="1"/>
    <col min="39" max="39" width="12.25390625" style="188" bestFit="1" customWidth="1"/>
    <col min="40" max="42" width="11.875" style="105" bestFit="1" customWidth="1"/>
    <col min="43" max="43" width="12.50390625" style="105" customWidth="1"/>
    <col min="44" max="44" width="11.50390625" style="105" customWidth="1"/>
    <col min="45" max="45" width="15.25390625" style="105" bestFit="1" customWidth="1"/>
    <col min="46" max="46" width="16.50390625" style="105" bestFit="1" customWidth="1"/>
    <col min="47" max="48" width="15.125" style="105" bestFit="1" customWidth="1"/>
    <col min="49" max="49" width="11.25390625" style="105" bestFit="1" customWidth="1"/>
    <col min="50" max="51" width="11.125" style="105" customWidth="1"/>
    <col min="52" max="52" width="11.875" style="105" bestFit="1" customWidth="1"/>
    <col min="53" max="53" width="10.25390625" style="105" bestFit="1" customWidth="1"/>
    <col min="54" max="55" width="8.75390625" style="105" bestFit="1" customWidth="1"/>
    <col min="56" max="56" width="15.25390625" style="105" bestFit="1" customWidth="1"/>
    <col min="57" max="57" width="11.875" style="105" bestFit="1" customWidth="1"/>
    <col min="58" max="58" width="19.125" style="105" bestFit="1" customWidth="1"/>
    <col min="59" max="59" width="20.75390625" style="105" bestFit="1" customWidth="1"/>
    <col min="60" max="60" width="22.50390625" style="105" bestFit="1" customWidth="1"/>
    <col min="61" max="61" width="20.25390625" style="105" bestFit="1" customWidth="1"/>
    <col min="62" max="62" width="12.25390625" style="188" bestFit="1" customWidth="1"/>
    <col min="63" max="63" width="23.75390625" style="105" bestFit="1" customWidth="1"/>
    <col min="64" max="64" width="28.625" style="105" bestFit="1" customWidth="1"/>
    <col min="65" max="65" width="30.25390625" style="105" bestFit="1" customWidth="1"/>
    <col min="66" max="66" width="26.875" style="105" bestFit="1" customWidth="1"/>
    <col min="67" max="67" width="21.625" style="105" bestFit="1" customWidth="1"/>
    <col min="68" max="68" width="23.25390625" style="107" bestFit="1" customWidth="1"/>
    <col min="69" max="69" width="12.25390625" style="188" bestFit="1" customWidth="1"/>
    <col min="70" max="70" width="23.25390625" style="105" bestFit="1" customWidth="1"/>
    <col min="71" max="71" width="21.625" style="105" bestFit="1" customWidth="1"/>
    <col min="72" max="72" width="23.25390625" style="105" bestFit="1" customWidth="1"/>
    <col min="73" max="73" width="21.625" style="105" bestFit="1" customWidth="1"/>
    <col min="74" max="74" width="11.875" style="105" bestFit="1" customWidth="1"/>
    <col min="75" max="75" width="28.625" style="105" bestFit="1" customWidth="1"/>
    <col min="76" max="76" width="31.75390625" style="105" bestFit="1" customWidth="1"/>
    <col min="77" max="78" width="28.875" style="105" bestFit="1" customWidth="1"/>
    <col min="79" max="79" width="21.25390625" style="105" bestFit="1" customWidth="1"/>
    <col min="80" max="80" width="14.625" style="105" customWidth="1"/>
    <col min="81" max="81" width="13.00390625" style="105" customWidth="1"/>
    <col min="82" max="82" width="11.875" style="105" bestFit="1" customWidth="1"/>
    <col min="83" max="83" width="10.25390625" style="105" bestFit="1" customWidth="1"/>
    <col min="84" max="85" width="8.75390625" style="105" bestFit="1" customWidth="1"/>
    <col min="86" max="86" width="15.25390625" style="105" bestFit="1" customWidth="1"/>
    <col min="87" max="87" width="11.875" style="105" bestFit="1" customWidth="1"/>
    <col min="88" max="88" width="19.125" style="105" bestFit="1" customWidth="1"/>
    <col min="89" max="89" width="20.75390625" style="105" bestFit="1" customWidth="1"/>
    <col min="90" max="90" width="22.50390625" style="105" bestFit="1" customWidth="1"/>
    <col min="91" max="91" width="20.25390625" style="105" bestFit="1" customWidth="1"/>
    <col min="92" max="92" width="12.25390625" style="188" bestFit="1" customWidth="1"/>
    <col min="93" max="93" width="23.75390625" style="105" bestFit="1" customWidth="1"/>
    <col min="94" max="94" width="28.625" style="105" bestFit="1" customWidth="1"/>
    <col min="95" max="95" width="30.25390625" style="105" bestFit="1" customWidth="1"/>
    <col min="96" max="96" width="26.875" style="105" bestFit="1" customWidth="1"/>
    <col min="97" max="97" width="21.625" style="105" bestFit="1" customWidth="1"/>
    <col min="98" max="98" width="23.25390625" style="105" bestFit="1" customWidth="1"/>
    <col min="99" max="99" width="12.25390625" style="188" bestFit="1" customWidth="1"/>
    <col min="100" max="100" width="23.25390625" style="105" bestFit="1" customWidth="1"/>
    <col min="101" max="101" width="21.625" style="105" bestFit="1" customWidth="1"/>
    <col min="102" max="102" width="23.25390625" style="105" bestFit="1" customWidth="1"/>
    <col min="103" max="103" width="21.625" style="105" bestFit="1" customWidth="1"/>
    <col min="104" max="104" width="11.875" style="105" bestFit="1" customWidth="1"/>
    <col min="105" max="105" width="28.625" style="105" bestFit="1" customWidth="1"/>
    <col min="106" max="106" width="31.75390625" style="105" bestFit="1" customWidth="1"/>
    <col min="107" max="108" width="28.875" style="105" bestFit="1" customWidth="1"/>
    <col min="109" max="109" width="21.25390625" style="105" bestFit="1" customWidth="1"/>
    <col min="110" max="110" width="16.875" style="105" customWidth="1"/>
    <col min="111" max="111" width="14.00390625" style="105" customWidth="1"/>
    <col min="112" max="112" width="11.875" style="105" bestFit="1" customWidth="1"/>
    <col min="113" max="113" width="10.25390625" style="105" bestFit="1" customWidth="1"/>
    <col min="114" max="115" width="8.75390625" style="105" bestFit="1" customWidth="1"/>
    <col min="116" max="116" width="15.25390625" style="105" bestFit="1" customWidth="1"/>
    <col min="117" max="117" width="11.875" style="105" bestFit="1" customWidth="1"/>
    <col min="118" max="118" width="19.125" style="105" bestFit="1" customWidth="1"/>
    <col min="119" max="119" width="20.75390625" style="105" bestFit="1" customWidth="1"/>
    <col min="120" max="120" width="22.50390625" style="105" bestFit="1" customWidth="1"/>
    <col min="121" max="121" width="20.25390625" style="105" bestFit="1" customWidth="1"/>
    <col min="122" max="122" width="20.375" style="105" bestFit="1" customWidth="1"/>
    <col min="123" max="123" width="23.75390625" style="105" bestFit="1" customWidth="1"/>
    <col min="124" max="124" width="28.625" style="105" bestFit="1" customWidth="1"/>
    <col min="125" max="125" width="30.25390625" style="105" bestFit="1" customWidth="1"/>
    <col min="126" max="126" width="26.875" style="105" bestFit="1" customWidth="1"/>
    <col min="127" max="127" width="21.625" style="105" bestFit="1" customWidth="1"/>
    <col min="128" max="128" width="23.25390625" style="105" bestFit="1" customWidth="1"/>
    <col min="129" max="129" width="12.25390625" style="188" bestFit="1" customWidth="1"/>
    <col min="130" max="130" width="23.25390625" style="105" bestFit="1" customWidth="1"/>
    <col min="131" max="131" width="21.625" style="105" bestFit="1" customWidth="1"/>
    <col min="132" max="132" width="23.25390625" style="105" bestFit="1" customWidth="1"/>
    <col min="133" max="133" width="21.625" style="105" bestFit="1" customWidth="1"/>
    <col min="134" max="134" width="11.875" style="105" bestFit="1" customWidth="1"/>
    <col min="135" max="135" width="28.625" style="105" bestFit="1" customWidth="1"/>
    <col min="136" max="136" width="31.75390625" style="105" bestFit="1" customWidth="1"/>
    <col min="137" max="138" width="28.875" style="105" bestFit="1" customWidth="1"/>
    <col min="139" max="139" width="21.25390625" style="105" bestFit="1" customWidth="1"/>
    <col min="140" max="140" width="23.125" style="105" customWidth="1"/>
    <col min="141" max="141" width="20.125" style="105" customWidth="1"/>
    <col min="142" max="142" width="27.00390625" style="105" bestFit="1" customWidth="1"/>
    <col min="143" max="145" width="12.75390625" style="105" bestFit="1" customWidth="1"/>
    <col min="146" max="146" width="14.375" style="105" bestFit="1" customWidth="1"/>
    <col min="147" max="147" width="16.125" style="105" bestFit="1" customWidth="1"/>
    <col min="148" max="153" width="12.75390625" style="105" bestFit="1" customWidth="1"/>
    <col min="154" max="154" width="14.375" style="105" bestFit="1" customWidth="1"/>
    <col min="155" max="157" width="20.00390625" style="105" bestFit="1" customWidth="1"/>
    <col min="158" max="158" width="14.375" style="105" bestFit="1" customWidth="1"/>
    <col min="159" max="160" width="12.75390625" style="105" bestFit="1" customWidth="1"/>
    <col min="161" max="161" width="12.50390625" style="105" bestFit="1" customWidth="1"/>
    <col min="162" max="162" width="17.625" style="105" bestFit="1" customWidth="1"/>
    <col min="163" max="163" width="28.125" style="105" bestFit="1" customWidth="1"/>
    <col min="164" max="164" width="18.50390625" style="105" bestFit="1" customWidth="1"/>
    <col min="165" max="165" width="29.875" style="105" bestFit="1" customWidth="1"/>
    <col min="166" max="166" width="18.50390625" style="105" bestFit="1" customWidth="1"/>
    <col min="167" max="167" width="28.125" style="105" bestFit="1" customWidth="1"/>
    <col min="168" max="168" width="18.50390625" style="105" bestFit="1" customWidth="1"/>
    <col min="169" max="169" width="12.75390625" style="105" bestFit="1" customWidth="1"/>
    <col min="170" max="170" width="14.375" style="105" bestFit="1" customWidth="1"/>
    <col min="171" max="171" width="16.125" style="253" bestFit="1" customWidth="1"/>
    <col min="172" max="172" width="14.375" style="253" bestFit="1" customWidth="1"/>
    <col min="173" max="173" width="17.75390625" style="253" bestFit="1" customWidth="1"/>
    <col min="174" max="176" width="14.375" style="253" bestFit="1" customWidth="1"/>
    <col min="177" max="177" width="11.125" style="253" bestFit="1" customWidth="1"/>
    <col min="178" max="178" width="18.875" style="253" bestFit="1" customWidth="1"/>
    <col min="179" max="179" width="17.50390625" style="253" customWidth="1"/>
    <col min="180" max="180" width="14.75390625" style="253" customWidth="1"/>
    <col min="181" max="181" width="6.00390625" style="105" bestFit="1" customWidth="1"/>
    <col min="182" max="182" width="13.75390625" style="105" bestFit="1" customWidth="1"/>
    <col min="183" max="183" width="4.50390625" style="105" bestFit="1" customWidth="1"/>
    <col min="184" max="184" width="6.00390625" style="105" bestFit="1" customWidth="1"/>
    <col min="185" max="185" width="11.50390625" style="105" bestFit="1" customWidth="1"/>
    <col min="186" max="187" width="9.50390625" style="105" bestFit="1" customWidth="1"/>
    <col min="188" max="189" width="21.00390625" style="105" bestFit="1" customWidth="1"/>
    <col min="190" max="190" width="17.625" style="105" bestFit="1" customWidth="1"/>
    <col min="191" max="191" width="22.625" style="105" bestFit="1" customWidth="1"/>
    <col min="192" max="192" width="38.50390625" style="105" bestFit="1" customWidth="1"/>
    <col min="193" max="193" width="21.00390625" style="105" bestFit="1" customWidth="1"/>
    <col min="194" max="194" width="29.00390625" style="105" bestFit="1" customWidth="1"/>
    <col min="195" max="195" width="24.125" style="105" bestFit="1" customWidth="1"/>
    <col min="196" max="196" width="17.625" style="105" bestFit="1" customWidth="1"/>
    <col min="197" max="197" width="20.125" style="105" bestFit="1" customWidth="1"/>
    <col min="198" max="198" width="30.625" style="105" customWidth="1"/>
    <col min="199" max="201" width="6.00390625" style="105" bestFit="1" customWidth="1"/>
    <col min="202" max="202" width="5.75390625" style="105" customWidth="1"/>
    <col min="203" max="203" width="9.75390625" style="105" bestFit="1" customWidth="1"/>
    <col min="204" max="204" width="11.875" style="105" customWidth="1"/>
    <col min="205" max="205" width="12.875" style="105" customWidth="1"/>
    <col min="206" max="206" width="9.75390625" style="105" bestFit="1" customWidth="1"/>
    <col min="207" max="207" width="11.875" style="105" customWidth="1"/>
    <col min="208" max="208" width="12.875" style="105" customWidth="1"/>
    <col min="209" max="209" width="9.75390625" style="105" bestFit="1" customWidth="1"/>
    <col min="210" max="210" width="11.875" style="105" customWidth="1"/>
    <col min="211" max="211" width="12.875" style="105" customWidth="1"/>
    <col min="212" max="212" width="9.75390625" style="105" bestFit="1" customWidth="1"/>
    <col min="213" max="213" width="11.875" style="105" customWidth="1"/>
    <col min="214" max="214" width="12.875" style="105" customWidth="1"/>
    <col min="215" max="215" width="9.75390625" style="105" bestFit="1" customWidth="1"/>
    <col min="216" max="216" width="11.875" style="105" customWidth="1"/>
    <col min="217" max="217" width="12.875" style="105" customWidth="1"/>
    <col min="218" max="218" width="9.75390625" style="105" bestFit="1" customWidth="1"/>
    <col min="219" max="219" width="11.875" style="105" customWidth="1"/>
    <col min="220" max="220" width="12.875" style="105" customWidth="1"/>
    <col min="221" max="221" width="9.75390625" style="105" bestFit="1" customWidth="1"/>
    <col min="222" max="222" width="11.875" style="105" customWidth="1"/>
    <col min="223" max="223" width="12.875" style="105" customWidth="1"/>
    <col min="224" max="224" width="9.75390625" style="105" bestFit="1" customWidth="1"/>
    <col min="225" max="225" width="11.875" style="105" customWidth="1"/>
    <col min="226" max="226" width="12.875" style="105" customWidth="1"/>
    <col min="227" max="227" width="9.75390625" style="105" bestFit="1" customWidth="1"/>
    <col min="228" max="228" width="11.875" style="105" customWidth="1"/>
    <col min="229" max="229" width="12.875" style="105" customWidth="1"/>
    <col min="230" max="230" width="9.75390625" style="105" bestFit="1" customWidth="1"/>
    <col min="231" max="231" width="11.875" style="105" customWidth="1"/>
    <col min="232" max="232" width="12.875" style="105" customWidth="1"/>
    <col min="233" max="233" width="9.75390625" style="105" bestFit="1" customWidth="1"/>
    <col min="234" max="234" width="11.875" style="105" customWidth="1"/>
    <col min="235" max="235" width="12.875" style="105" customWidth="1"/>
    <col min="236" max="236" width="9.75390625" style="105" bestFit="1" customWidth="1"/>
    <col min="237" max="237" width="11.875" style="105" customWidth="1"/>
    <col min="238" max="238" width="12.875" style="105" customWidth="1"/>
    <col min="239" max="239" width="15.375" style="105" bestFit="1" customWidth="1"/>
    <col min="240" max="240" width="12.50390625" style="179" bestFit="1" customWidth="1"/>
    <col min="241" max="244" width="6.00390625" style="105" bestFit="1" customWidth="1"/>
    <col min="245" max="245" width="11.00390625" style="105" customWidth="1"/>
    <col min="246" max="246" width="11.25390625" style="105" customWidth="1"/>
    <col min="247" max="247" width="10.75390625" style="105" customWidth="1"/>
    <col min="248" max="249" width="10.375" style="105" customWidth="1"/>
    <col min="250" max="16384" width="9.00390625" style="105" customWidth="1"/>
  </cols>
  <sheetData>
    <row r="1" spans="1:249" s="104" customFormat="1" ht="45">
      <c r="A1" s="120" t="s">
        <v>963</v>
      </c>
      <c r="B1" s="119" t="s">
        <v>909</v>
      </c>
      <c r="C1" s="119" t="s">
        <v>964</v>
      </c>
      <c r="D1" s="119" t="s">
        <v>965</v>
      </c>
      <c r="E1" s="119" t="s">
        <v>966</v>
      </c>
      <c r="F1" s="119" t="s">
        <v>967</v>
      </c>
      <c r="G1" s="119" t="s">
        <v>242</v>
      </c>
      <c r="H1" s="119" t="s">
        <v>968</v>
      </c>
      <c r="I1" s="119" t="s">
        <v>969</v>
      </c>
      <c r="J1" s="119" t="s">
        <v>970</v>
      </c>
      <c r="K1" s="119" t="s">
        <v>971</v>
      </c>
      <c r="L1" s="119" t="s">
        <v>972</v>
      </c>
      <c r="M1" s="119" t="s">
        <v>12</v>
      </c>
      <c r="N1" s="119" t="s">
        <v>973</v>
      </c>
      <c r="O1" s="119" t="s">
        <v>974</v>
      </c>
      <c r="P1" s="119" t="s">
        <v>975</v>
      </c>
      <c r="Q1" s="119" t="s">
        <v>13</v>
      </c>
      <c r="R1" s="119" t="s">
        <v>976</v>
      </c>
      <c r="S1" s="119" t="s">
        <v>977</v>
      </c>
      <c r="T1" s="187" t="s">
        <v>978</v>
      </c>
      <c r="U1" s="119" t="s">
        <v>962</v>
      </c>
      <c r="V1" s="119" t="s">
        <v>770</v>
      </c>
      <c r="W1" s="119" t="s">
        <v>771</v>
      </c>
      <c r="X1" s="119" t="s">
        <v>772</v>
      </c>
      <c r="Y1" s="119" t="s">
        <v>773</v>
      </c>
      <c r="Z1" s="119" t="s">
        <v>774</v>
      </c>
      <c r="AA1" s="119" t="s">
        <v>775</v>
      </c>
      <c r="AB1" s="119" t="s">
        <v>776</v>
      </c>
      <c r="AC1" s="119" t="s">
        <v>777</v>
      </c>
      <c r="AD1" s="119" t="s">
        <v>778</v>
      </c>
      <c r="AE1" s="119" t="s">
        <v>461</v>
      </c>
      <c r="AF1" s="187" t="s">
        <v>696</v>
      </c>
      <c r="AG1" s="119" t="s">
        <v>1241</v>
      </c>
      <c r="AH1" s="119" t="s">
        <v>14</v>
      </c>
      <c r="AI1" s="119" t="s">
        <v>0</v>
      </c>
      <c r="AJ1" s="119" t="s">
        <v>15</v>
      </c>
      <c r="AK1" s="119" t="s">
        <v>16</v>
      </c>
      <c r="AL1" s="119" t="s">
        <v>779</v>
      </c>
      <c r="AM1" s="187" t="s">
        <v>697</v>
      </c>
      <c r="AN1" s="119" t="s">
        <v>780</v>
      </c>
      <c r="AO1" s="119" t="s">
        <v>781</v>
      </c>
      <c r="AP1" s="119" t="s">
        <v>782</v>
      </c>
      <c r="AQ1" s="119" t="s">
        <v>783</v>
      </c>
      <c r="AR1" s="119" t="s">
        <v>784</v>
      </c>
      <c r="AS1" s="119" t="s">
        <v>785</v>
      </c>
      <c r="AT1" s="119" t="s">
        <v>786</v>
      </c>
      <c r="AU1" s="119" t="s">
        <v>793</v>
      </c>
      <c r="AV1" s="119" t="s">
        <v>794</v>
      </c>
      <c r="AW1" s="119" t="s">
        <v>795</v>
      </c>
      <c r="AX1" s="119" t="s">
        <v>796</v>
      </c>
      <c r="AY1" s="119" t="s">
        <v>797</v>
      </c>
      <c r="AZ1" s="119" t="s">
        <v>798</v>
      </c>
      <c r="BA1" s="119" t="s">
        <v>799</v>
      </c>
      <c r="BB1" s="119" t="s">
        <v>800</v>
      </c>
      <c r="BC1" s="119" t="s">
        <v>801</v>
      </c>
      <c r="BD1" s="119" t="s">
        <v>802</v>
      </c>
      <c r="BE1" s="119" t="s">
        <v>803</v>
      </c>
      <c r="BF1" s="119" t="s">
        <v>804</v>
      </c>
      <c r="BG1" s="119" t="s">
        <v>805</v>
      </c>
      <c r="BH1" s="119" t="s">
        <v>806</v>
      </c>
      <c r="BI1" s="119" t="s">
        <v>462</v>
      </c>
      <c r="BJ1" s="187" t="s">
        <v>698</v>
      </c>
      <c r="BK1" s="119" t="s">
        <v>1243</v>
      </c>
      <c r="BL1" s="119" t="s">
        <v>17</v>
      </c>
      <c r="BM1" s="119" t="s">
        <v>2</v>
      </c>
      <c r="BN1" s="119" t="s">
        <v>18</v>
      </c>
      <c r="BO1" s="119" t="s">
        <v>19</v>
      </c>
      <c r="BP1" s="119" t="s">
        <v>807</v>
      </c>
      <c r="BQ1" s="187" t="s">
        <v>699</v>
      </c>
      <c r="BR1" s="119" t="s">
        <v>808</v>
      </c>
      <c r="BS1" s="119" t="s">
        <v>809</v>
      </c>
      <c r="BT1" s="119" t="s">
        <v>810</v>
      </c>
      <c r="BU1" s="119" t="s">
        <v>811</v>
      </c>
      <c r="BV1" s="119" t="s">
        <v>812</v>
      </c>
      <c r="BW1" s="119" t="s">
        <v>813</v>
      </c>
      <c r="BX1" s="119" t="s">
        <v>814</v>
      </c>
      <c r="BY1" s="119" t="s">
        <v>815</v>
      </c>
      <c r="BZ1" s="119" t="s">
        <v>816</v>
      </c>
      <c r="CA1" s="119" t="s">
        <v>817</v>
      </c>
      <c r="CB1" s="119" t="s">
        <v>818</v>
      </c>
      <c r="CC1" s="119" t="s">
        <v>861</v>
      </c>
      <c r="CD1" s="119" t="s">
        <v>862</v>
      </c>
      <c r="CE1" s="119" t="s">
        <v>863</v>
      </c>
      <c r="CF1" s="119" t="s">
        <v>864</v>
      </c>
      <c r="CG1" s="119" t="s">
        <v>865</v>
      </c>
      <c r="CH1" s="119" t="s">
        <v>866</v>
      </c>
      <c r="CI1" s="119" t="s">
        <v>867</v>
      </c>
      <c r="CJ1" s="119" t="s">
        <v>868</v>
      </c>
      <c r="CK1" s="119" t="s">
        <v>869</v>
      </c>
      <c r="CL1" s="119" t="s">
        <v>870</v>
      </c>
      <c r="CM1" s="119" t="s">
        <v>463</v>
      </c>
      <c r="CN1" s="187" t="s">
        <v>700</v>
      </c>
      <c r="CO1" s="119" t="s">
        <v>1245</v>
      </c>
      <c r="CP1" s="119" t="s">
        <v>20</v>
      </c>
      <c r="CQ1" s="119" t="s">
        <v>4</v>
      </c>
      <c r="CR1" s="119" t="s">
        <v>21</v>
      </c>
      <c r="CS1" s="119" t="s">
        <v>22</v>
      </c>
      <c r="CT1" s="119" t="s">
        <v>871</v>
      </c>
      <c r="CU1" s="187" t="s">
        <v>701</v>
      </c>
      <c r="CV1" s="119" t="s">
        <v>872</v>
      </c>
      <c r="CW1" s="119" t="s">
        <v>873</v>
      </c>
      <c r="CX1" s="119" t="s">
        <v>874</v>
      </c>
      <c r="CY1" s="119" t="s">
        <v>875</v>
      </c>
      <c r="CZ1" s="119" t="s">
        <v>876</v>
      </c>
      <c r="DA1" s="119" t="s">
        <v>877</v>
      </c>
      <c r="DB1" s="119" t="s">
        <v>878</v>
      </c>
      <c r="DC1" s="119" t="s">
        <v>879</v>
      </c>
      <c r="DD1" s="119" t="s">
        <v>880</v>
      </c>
      <c r="DE1" s="119" t="s">
        <v>881</v>
      </c>
      <c r="DF1" s="119" t="s">
        <v>882</v>
      </c>
      <c r="DG1" s="119" t="s">
        <v>883</v>
      </c>
      <c r="DH1" s="119" t="s">
        <v>884</v>
      </c>
      <c r="DI1" s="119" t="s">
        <v>885</v>
      </c>
      <c r="DJ1" s="119" t="s">
        <v>886</v>
      </c>
      <c r="DK1" s="119" t="s">
        <v>887</v>
      </c>
      <c r="DL1" s="119" t="s">
        <v>891</v>
      </c>
      <c r="DM1" s="119" t="s">
        <v>892</v>
      </c>
      <c r="DN1" s="119" t="s">
        <v>893</v>
      </c>
      <c r="DO1" s="119" t="s">
        <v>894</v>
      </c>
      <c r="DP1" s="119" t="s">
        <v>895</v>
      </c>
      <c r="DQ1" s="119" t="s">
        <v>464</v>
      </c>
      <c r="DR1" s="119" t="s">
        <v>702</v>
      </c>
      <c r="DS1" s="119" t="s">
        <v>1246</v>
      </c>
      <c r="DT1" s="119" t="s">
        <v>23</v>
      </c>
      <c r="DU1" s="119" t="s">
        <v>6</v>
      </c>
      <c r="DV1" s="119" t="s">
        <v>24</v>
      </c>
      <c r="DW1" s="119" t="s">
        <v>25</v>
      </c>
      <c r="DX1" s="119" t="s">
        <v>896</v>
      </c>
      <c r="DY1" s="187" t="s">
        <v>703</v>
      </c>
      <c r="DZ1" s="119" t="s">
        <v>897</v>
      </c>
      <c r="EA1" s="119" t="s">
        <v>898</v>
      </c>
      <c r="EB1" s="119" t="s">
        <v>899</v>
      </c>
      <c r="EC1" s="119" t="s">
        <v>900</v>
      </c>
      <c r="ED1" s="119" t="s">
        <v>901</v>
      </c>
      <c r="EE1" s="119" t="s">
        <v>902</v>
      </c>
      <c r="EF1" s="119" t="s">
        <v>903</v>
      </c>
      <c r="EG1" s="119" t="s">
        <v>904</v>
      </c>
      <c r="EH1" s="119" t="s">
        <v>905</v>
      </c>
      <c r="EI1" s="119" t="s">
        <v>906</v>
      </c>
      <c r="EJ1" s="119" t="s">
        <v>907</v>
      </c>
      <c r="EK1" s="119" t="s">
        <v>908</v>
      </c>
      <c r="EL1" s="119" t="s">
        <v>910</v>
      </c>
      <c r="EM1" s="119" t="s">
        <v>694</v>
      </c>
      <c r="EN1" s="119" t="s">
        <v>695</v>
      </c>
      <c r="EO1" s="119" t="s">
        <v>979</v>
      </c>
      <c r="EP1" s="119" t="s">
        <v>980</v>
      </c>
      <c r="EQ1" s="119" t="s">
        <v>911</v>
      </c>
      <c r="ER1" s="119" t="s">
        <v>912</v>
      </c>
      <c r="ES1" s="119" t="s">
        <v>913</v>
      </c>
      <c r="ET1" s="119" t="s">
        <v>914</v>
      </c>
      <c r="EU1" s="119" t="s">
        <v>915</v>
      </c>
      <c r="EV1" s="119" t="s">
        <v>916</v>
      </c>
      <c r="EW1" s="119" t="s">
        <v>919</v>
      </c>
      <c r="EX1" s="119" t="s">
        <v>918</v>
      </c>
      <c r="EY1" s="119" t="s">
        <v>917</v>
      </c>
      <c r="EZ1" s="119" t="s">
        <v>981</v>
      </c>
      <c r="FA1" s="119" t="s">
        <v>982</v>
      </c>
      <c r="FB1" s="119" t="s">
        <v>983</v>
      </c>
      <c r="FC1" s="119" t="s">
        <v>984</v>
      </c>
      <c r="FD1" s="119" t="s">
        <v>985</v>
      </c>
      <c r="FE1" s="119" t="s">
        <v>986</v>
      </c>
      <c r="FF1" s="119" t="s">
        <v>987</v>
      </c>
      <c r="FG1" s="119" t="s">
        <v>988</v>
      </c>
      <c r="FH1" s="119" t="s">
        <v>989</v>
      </c>
      <c r="FI1" s="119" t="s">
        <v>990</v>
      </c>
      <c r="FJ1" s="119" t="s">
        <v>991</v>
      </c>
      <c r="FK1" s="119" t="s">
        <v>992</v>
      </c>
      <c r="FL1" s="119" t="s">
        <v>993</v>
      </c>
      <c r="FM1" s="119" t="s">
        <v>994</v>
      </c>
      <c r="FN1" s="119" t="s">
        <v>995</v>
      </c>
      <c r="FO1" s="252" t="s">
        <v>996</v>
      </c>
      <c r="FP1" s="252" t="s">
        <v>769</v>
      </c>
      <c r="FQ1" s="252" t="s">
        <v>920</v>
      </c>
      <c r="FR1" s="252" t="s">
        <v>921</v>
      </c>
      <c r="FS1" s="252" t="s">
        <v>922</v>
      </c>
      <c r="FT1" s="252" t="s">
        <v>768</v>
      </c>
      <c r="FU1" s="252" t="s">
        <v>923</v>
      </c>
      <c r="FV1" s="252" t="s">
        <v>997</v>
      </c>
      <c r="FW1" s="252" t="s">
        <v>998</v>
      </c>
      <c r="FX1" s="252" t="s">
        <v>999</v>
      </c>
      <c r="FY1" s="119" t="s">
        <v>372</v>
      </c>
      <c r="FZ1" s="119" t="s">
        <v>1000</v>
      </c>
      <c r="GA1" s="119" t="s">
        <v>1001</v>
      </c>
      <c r="GB1" s="119" t="s">
        <v>1002</v>
      </c>
      <c r="GC1" s="119" t="s">
        <v>1003</v>
      </c>
      <c r="GD1" s="119" t="s">
        <v>1004</v>
      </c>
      <c r="GE1" s="119" t="s">
        <v>1005</v>
      </c>
      <c r="GF1" s="119" t="s">
        <v>1006</v>
      </c>
      <c r="GG1" s="119" t="s">
        <v>1007</v>
      </c>
      <c r="GH1" s="119" t="s">
        <v>1008</v>
      </c>
      <c r="GI1" s="119" t="s">
        <v>1009</v>
      </c>
      <c r="GJ1" s="119" t="s">
        <v>1010</v>
      </c>
      <c r="GK1" s="119" t="s">
        <v>1011</v>
      </c>
      <c r="GL1" s="119" t="s">
        <v>1012</v>
      </c>
      <c r="GM1" s="119" t="s">
        <v>1013</v>
      </c>
      <c r="GN1" s="119" t="s">
        <v>1014</v>
      </c>
      <c r="GO1" s="119" t="s">
        <v>1015</v>
      </c>
      <c r="GP1" s="119" t="s">
        <v>1016</v>
      </c>
      <c r="GQ1" s="119" t="s">
        <v>1231</v>
      </c>
      <c r="GR1" s="119" t="s">
        <v>1232</v>
      </c>
      <c r="GS1" s="119" t="s">
        <v>1233</v>
      </c>
      <c r="GT1" s="119" t="s">
        <v>960</v>
      </c>
      <c r="GU1" s="119" t="s">
        <v>924</v>
      </c>
      <c r="GV1" s="119" t="s">
        <v>925</v>
      </c>
      <c r="GW1" s="119" t="s">
        <v>926</v>
      </c>
      <c r="GX1" s="119" t="s">
        <v>927</v>
      </c>
      <c r="GY1" s="119" t="s">
        <v>928</v>
      </c>
      <c r="GZ1" s="119" t="s">
        <v>929</v>
      </c>
      <c r="HA1" s="119" t="s">
        <v>930</v>
      </c>
      <c r="HB1" s="119" t="s">
        <v>931</v>
      </c>
      <c r="HC1" s="119" t="s">
        <v>932</v>
      </c>
      <c r="HD1" s="119" t="s">
        <v>933</v>
      </c>
      <c r="HE1" s="119" t="s">
        <v>934</v>
      </c>
      <c r="HF1" s="119" t="s">
        <v>935</v>
      </c>
      <c r="HG1" s="119" t="s">
        <v>936</v>
      </c>
      <c r="HH1" s="119" t="s">
        <v>937</v>
      </c>
      <c r="HI1" s="119" t="s">
        <v>938</v>
      </c>
      <c r="HJ1" s="119" t="s">
        <v>939</v>
      </c>
      <c r="HK1" s="119" t="s">
        <v>940</v>
      </c>
      <c r="HL1" s="119" t="s">
        <v>941</v>
      </c>
      <c r="HM1" s="119" t="s">
        <v>942</v>
      </c>
      <c r="HN1" s="119" t="s">
        <v>943</v>
      </c>
      <c r="HO1" s="119" t="s">
        <v>944</v>
      </c>
      <c r="HP1" s="119" t="s">
        <v>945</v>
      </c>
      <c r="HQ1" s="119" t="s">
        <v>946</v>
      </c>
      <c r="HR1" s="119" t="s">
        <v>947</v>
      </c>
      <c r="HS1" s="119" t="s">
        <v>948</v>
      </c>
      <c r="HT1" s="119" t="s">
        <v>949</v>
      </c>
      <c r="HU1" s="119" t="s">
        <v>950</v>
      </c>
      <c r="HV1" s="119" t="s">
        <v>951</v>
      </c>
      <c r="HW1" s="119" t="s">
        <v>952</v>
      </c>
      <c r="HX1" s="119" t="s">
        <v>953</v>
      </c>
      <c r="HY1" s="119" t="s">
        <v>954</v>
      </c>
      <c r="HZ1" s="119" t="s">
        <v>955</v>
      </c>
      <c r="IA1" s="119" t="s">
        <v>956</v>
      </c>
      <c r="IB1" s="119" t="s">
        <v>957</v>
      </c>
      <c r="IC1" s="119" t="s">
        <v>958</v>
      </c>
      <c r="ID1" s="119" t="s">
        <v>959</v>
      </c>
      <c r="IE1" s="119" t="s">
        <v>961</v>
      </c>
      <c r="IF1" s="178" t="s">
        <v>26</v>
      </c>
      <c r="IG1" s="119" t="s">
        <v>27</v>
      </c>
      <c r="IH1" s="119" t="s">
        <v>28</v>
      </c>
      <c r="II1" s="119" t="s">
        <v>29</v>
      </c>
      <c r="IJ1" s="119" t="s">
        <v>1017</v>
      </c>
      <c r="IK1" s="119" t="s">
        <v>1234</v>
      </c>
      <c r="IL1" s="119" t="s">
        <v>1236</v>
      </c>
      <c r="IM1" s="119" t="s">
        <v>1237</v>
      </c>
      <c r="IN1" s="119" t="s">
        <v>1239</v>
      </c>
      <c r="IO1" s="119" t="s">
        <v>1240</v>
      </c>
    </row>
  </sheetData>
  <sheetProtection/>
  <printOptions/>
  <pageMargins left="0.75" right="0.75" top="1" bottom="1" header="0.512" footer="0.512"/>
  <pageSetup blackAndWhite="1" horizontalDpi="300" verticalDpi="300" orientation="landscape" pageOrder="overThenDown" paperSize="8" r:id="rId1"/>
</worksheet>
</file>

<file path=xl/worksheets/sheet3.xml><?xml version="1.0" encoding="utf-8"?>
<worksheet xmlns="http://schemas.openxmlformats.org/spreadsheetml/2006/main" xmlns:r="http://schemas.openxmlformats.org/officeDocument/2006/relationships">
  <sheetPr codeName="shtConfig"/>
  <dimension ref="A1:K20"/>
  <sheetViews>
    <sheetView zoomScalePageLayoutView="0" workbookViewId="0" topLeftCell="A1">
      <selection activeCell="G15" sqref="G15"/>
    </sheetView>
  </sheetViews>
  <sheetFormatPr defaultColWidth="9.00390625" defaultRowHeight="13.5"/>
  <cols>
    <col min="1" max="1" width="15.125" style="110" bestFit="1" customWidth="1"/>
    <col min="2" max="2" width="5.75390625" style="110" bestFit="1" customWidth="1"/>
    <col min="3" max="3" width="8.50390625" style="110" customWidth="1"/>
    <col min="4" max="4" width="9.375" style="110" bestFit="1" customWidth="1"/>
    <col min="5" max="5" width="9.375" style="110" customWidth="1"/>
    <col min="6" max="6" width="11.00390625" style="170" bestFit="1" customWidth="1"/>
    <col min="7" max="8" width="9.375" style="170" customWidth="1"/>
    <col min="9" max="9" width="9.00390625" style="170" customWidth="1"/>
    <col min="10" max="10" width="45.375" style="110" bestFit="1" customWidth="1"/>
    <col min="11" max="11" width="14.75390625" style="110" bestFit="1" customWidth="1"/>
    <col min="12" max="16384" width="9.00390625" style="110" customWidth="1"/>
  </cols>
  <sheetData>
    <row r="1" spans="1:9" ht="11.25">
      <c r="A1" s="108" t="s">
        <v>347</v>
      </c>
      <c r="B1" s="109" t="s">
        <v>348</v>
      </c>
      <c r="C1" s="152" t="s">
        <v>888</v>
      </c>
      <c r="D1" s="162" t="s">
        <v>889</v>
      </c>
      <c r="E1" s="167"/>
      <c r="F1" s="167" t="s">
        <v>494</v>
      </c>
      <c r="G1" s="167" t="s">
        <v>495</v>
      </c>
      <c r="H1" s="167" t="s">
        <v>741</v>
      </c>
      <c r="I1" s="168" t="s">
        <v>313</v>
      </c>
    </row>
    <row r="2" spans="1:8" ht="11.25">
      <c r="A2" s="111" t="s">
        <v>36</v>
      </c>
      <c r="B2" s="112"/>
      <c r="C2" s="155"/>
      <c r="D2" s="156"/>
      <c r="E2" s="165"/>
      <c r="F2" s="169"/>
      <c r="G2" s="171"/>
      <c r="H2" s="171"/>
    </row>
    <row r="3" spans="1:8" ht="11.25">
      <c r="A3" s="113" t="s">
        <v>720</v>
      </c>
      <c r="B3" s="114"/>
      <c r="C3" s="157"/>
      <c r="D3" s="158"/>
      <c r="E3" s="166"/>
      <c r="F3" s="171"/>
      <c r="G3" s="171"/>
      <c r="H3" s="171"/>
    </row>
    <row r="4" spans="1:11" ht="11.25">
      <c r="A4" s="113" t="s">
        <v>30</v>
      </c>
      <c r="B4" s="164">
        <v>1</v>
      </c>
      <c r="C4" s="157">
        <v>1</v>
      </c>
      <c r="D4" s="158">
        <f>MAX(C4,D$20*1)</f>
        <v>1</v>
      </c>
      <c r="E4" s="166"/>
      <c r="F4" s="171"/>
      <c r="G4" s="171">
        <v>1</v>
      </c>
      <c r="H4" s="171" t="s">
        <v>35</v>
      </c>
      <c r="I4" s="170" t="s">
        <v>35</v>
      </c>
      <c r="J4" s="110" t="s">
        <v>632</v>
      </c>
      <c r="K4" s="110" t="s">
        <v>633</v>
      </c>
    </row>
    <row r="5" spans="1:11" ht="11.25">
      <c r="A5" s="113" t="s">
        <v>639</v>
      </c>
      <c r="B5" s="291">
        <f>D20</f>
        <v>0</v>
      </c>
      <c r="C5" s="157">
        <v>1</v>
      </c>
      <c r="D5" s="159">
        <v>1</v>
      </c>
      <c r="E5" s="165"/>
      <c r="F5" s="169"/>
      <c r="G5" s="171">
        <v>1</v>
      </c>
      <c r="H5" s="171" t="s">
        <v>35</v>
      </c>
      <c r="I5" s="170" t="s">
        <v>35</v>
      </c>
      <c r="J5" s="110" t="s">
        <v>635</v>
      </c>
      <c r="K5" s="110" t="s">
        <v>636</v>
      </c>
    </row>
    <row r="6" spans="1:10" ht="11.25">
      <c r="A6" s="113" t="s">
        <v>640</v>
      </c>
      <c r="B6" s="154">
        <f>IF(集団の構成員&gt;0,1,0)</f>
        <v>0</v>
      </c>
      <c r="C6" s="157">
        <v>1</v>
      </c>
      <c r="D6" s="159">
        <v>1</v>
      </c>
      <c r="E6" s="165"/>
      <c r="F6" s="169"/>
      <c r="G6" s="171">
        <v>1</v>
      </c>
      <c r="H6" s="171" t="s">
        <v>35</v>
      </c>
      <c r="I6" s="170" t="s">
        <v>35</v>
      </c>
      <c r="J6" s="110" t="s">
        <v>634</v>
      </c>
    </row>
    <row r="7" spans="1:11" ht="11.25">
      <c r="A7" s="113"/>
      <c r="B7" s="114"/>
      <c r="C7" s="157"/>
      <c r="D7" s="158"/>
      <c r="E7" s="166"/>
      <c r="F7" s="171"/>
      <c r="G7" s="171">
        <v>1</v>
      </c>
      <c r="H7" s="171" t="s">
        <v>35</v>
      </c>
      <c r="I7" s="170" t="s">
        <v>35</v>
      </c>
      <c r="J7" s="110" t="s">
        <v>632</v>
      </c>
      <c r="K7" s="110" t="s">
        <v>633</v>
      </c>
    </row>
    <row r="8" spans="1:11" ht="11.25">
      <c r="A8" s="113" t="s">
        <v>641</v>
      </c>
      <c r="B8" s="291">
        <f>D20</f>
        <v>0</v>
      </c>
      <c r="C8" s="157">
        <v>1</v>
      </c>
      <c r="D8" s="159">
        <v>1</v>
      </c>
      <c r="E8" s="165"/>
      <c r="F8" s="169"/>
      <c r="G8" s="171">
        <v>1</v>
      </c>
      <c r="H8" s="171" t="s">
        <v>35</v>
      </c>
      <c r="J8" s="110" t="s">
        <v>635</v>
      </c>
      <c r="K8" s="110" t="s">
        <v>636</v>
      </c>
    </row>
    <row r="9" spans="1:11" ht="11.25">
      <c r="A9" s="249" t="s">
        <v>858</v>
      </c>
      <c r="B9" s="154">
        <v>1</v>
      </c>
      <c r="C9" s="250">
        <v>1</v>
      </c>
      <c r="D9" s="251">
        <f>MAX(C9,D$20*1)</f>
        <v>1</v>
      </c>
      <c r="E9" s="166"/>
      <c r="F9" s="171"/>
      <c r="G9" s="171">
        <v>1</v>
      </c>
      <c r="H9" s="171" t="s">
        <v>35</v>
      </c>
      <c r="J9" s="110" t="s">
        <v>632</v>
      </c>
      <c r="K9" s="110" t="s">
        <v>633</v>
      </c>
    </row>
    <row r="10" spans="1:11" ht="11.25">
      <c r="A10" s="249" t="s">
        <v>859</v>
      </c>
      <c r="B10" s="154">
        <v>1</v>
      </c>
      <c r="C10" s="250">
        <v>1</v>
      </c>
      <c r="D10" s="251">
        <f>MAX(C10,D$20*1)</f>
        <v>1</v>
      </c>
      <c r="E10" s="166"/>
      <c r="F10" s="171"/>
      <c r="G10" s="171">
        <v>1</v>
      </c>
      <c r="H10" s="171" t="s">
        <v>35</v>
      </c>
      <c r="J10" s="110" t="s">
        <v>632</v>
      </c>
      <c r="K10" s="110" t="s">
        <v>633</v>
      </c>
    </row>
    <row r="11" spans="1:11" ht="11.25">
      <c r="A11" s="249" t="s">
        <v>642</v>
      </c>
      <c r="B11" s="154">
        <v>1</v>
      </c>
      <c r="C11" s="250">
        <v>1</v>
      </c>
      <c r="D11" s="251">
        <f>MAX(C11,D$20*1)</f>
        <v>1</v>
      </c>
      <c r="E11" s="165"/>
      <c r="F11" s="169"/>
      <c r="G11" s="171"/>
      <c r="H11" s="171">
        <v>1</v>
      </c>
      <c r="I11" s="170" t="s">
        <v>35</v>
      </c>
      <c r="J11" s="110" t="s">
        <v>632</v>
      </c>
      <c r="K11" s="110" t="s">
        <v>633</v>
      </c>
    </row>
    <row r="12" spans="1:11" ht="11.25">
      <c r="A12" s="249" t="s">
        <v>496</v>
      </c>
      <c r="B12" s="154">
        <v>1</v>
      </c>
      <c r="C12" s="250">
        <v>1</v>
      </c>
      <c r="D12" s="251">
        <f>MAX(C12,D$20*1)</f>
        <v>1</v>
      </c>
      <c r="E12" s="166"/>
      <c r="F12" s="171"/>
      <c r="G12" s="171"/>
      <c r="H12" s="171">
        <v>1</v>
      </c>
      <c r="I12" s="170" t="s">
        <v>35</v>
      </c>
      <c r="J12" s="110" t="s">
        <v>632</v>
      </c>
      <c r="K12" s="110" t="s">
        <v>633</v>
      </c>
    </row>
    <row r="13" spans="1:11" ht="11.25">
      <c r="A13" s="113" t="s">
        <v>819</v>
      </c>
      <c r="B13" s="291">
        <f>D20</f>
        <v>0</v>
      </c>
      <c r="C13" s="157">
        <v>1</v>
      </c>
      <c r="D13" s="159">
        <v>1</v>
      </c>
      <c r="E13" s="166"/>
      <c r="F13" s="171"/>
      <c r="G13" s="171">
        <v>1</v>
      </c>
      <c r="H13" s="171" t="s">
        <v>35</v>
      </c>
      <c r="I13" s="170" t="s">
        <v>35</v>
      </c>
      <c r="J13" s="110" t="s">
        <v>632</v>
      </c>
      <c r="K13" s="110" t="s">
        <v>633</v>
      </c>
    </row>
    <row r="14" spans="1:11" ht="11.25">
      <c r="A14" s="113" t="s">
        <v>346</v>
      </c>
      <c r="B14" s="114">
        <v>1</v>
      </c>
      <c r="C14" s="157">
        <v>1</v>
      </c>
      <c r="D14" s="159">
        <f>MAX(C14,4,D$20*4)</f>
        <v>4</v>
      </c>
      <c r="E14" s="165"/>
      <c r="F14" s="169"/>
      <c r="G14" s="171">
        <v>1</v>
      </c>
      <c r="H14" s="171">
        <v>1</v>
      </c>
      <c r="I14" s="170">
        <v>1</v>
      </c>
      <c r="J14" s="110" t="s">
        <v>637</v>
      </c>
      <c r="K14" s="110" t="s">
        <v>638</v>
      </c>
    </row>
    <row r="15" spans="1:8" ht="11.25">
      <c r="A15" s="113" t="s">
        <v>373</v>
      </c>
      <c r="B15" s="114">
        <v>1</v>
      </c>
      <c r="C15" s="157">
        <v>1</v>
      </c>
      <c r="D15" s="158">
        <v>1</v>
      </c>
      <c r="E15" s="166"/>
      <c r="F15" s="171"/>
      <c r="G15" s="171"/>
      <c r="H15" s="171"/>
    </row>
    <row r="16" spans="1:8" ht="11.25">
      <c r="A16" s="113"/>
      <c r="B16" s="114"/>
      <c r="C16" s="157"/>
      <c r="D16" s="158"/>
      <c r="E16" s="166"/>
      <c r="F16" s="171"/>
      <c r="G16" s="171"/>
      <c r="H16" s="171"/>
    </row>
    <row r="17" spans="1:8" ht="11.25">
      <c r="A17" s="113"/>
      <c r="B17" s="114"/>
      <c r="C17" s="157"/>
      <c r="D17" s="158"/>
      <c r="E17" s="166"/>
      <c r="F17" s="171"/>
      <c r="G17" s="171"/>
      <c r="H17" s="171"/>
    </row>
    <row r="18" spans="1:8" ht="12" thickBot="1">
      <c r="A18" s="115"/>
      <c r="B18" s="116"/>
      <c r="C18" s="160"/>
      <c r="D18" s="161"/>
      <c r="E18" s="166"/>
      <c r="F18" s="171"/>
      <c r="G18" s="171"/>
      <c r="H18" s="171"/>
    </row>
    <row r="20" spans="3:4" ht="11.25">
      <c r="C20" s="110" t="s">
        <v>890</v>
      </c>
      <c r="D20" s="110">
        <f>COUNTA('借受者記入項目'!E24:X24)</f>
        <v>0</v>
      </c>
    </row>
  </sheetData>
  <sheetProtection/>
  <conditionalFormatting sqref="B22:C22">
    <cfRule type="cellIs" priority="1" dxfId="5" operator="greaterThan" stopIfTrue="1">
      <formula>1</formula>
    </cfRule>
  </conditionalFormatting>
  <dataValidations count="1">
    <dataValidation type="whole" allowBlank="1" showInputMessage="1" showErrorMessage="1" error="0以上5以下の整数を入力してください。" sqref="B2:C18">
      <formula1>0</formula1>
      <formula2>5</formula2>
    </dataValidation>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tWorkarea"/>
  <dimension ref="A1:F249"/>
  <sheetViews>
    <sheetView zoomScalePageLayoutView="0" workbookViewId="0" topLeftCell="A1">
      <pane ySplit="1" topLeftCell="BM2" activePane="bottomLeft" state="frozen"/>
      <selection pane="topLeft" activeCell="F238" sqref="F238"/>
      <selection pane="bottomLeft" activeCell="D1" sqref="D1"/>
    </sheetView>
  </sheetViews>
  <sheetFormatPr defaultColWidth="9.00390625" defaultRowHeight="13.5"/>
  <cols>
    <col min="1" max="1" width="39.00390625" style="105" bestFit="1" customWidth="1"/>
    <col min="2" max="2" width="4.625" style="105" customWidth="1"/>
    <col min="3" max="3" width="4.50390625" style="105" bestFit="1" customWidth="1"/>
    <col min="4" max="4" width="26.375" style="118" customWidth="1"/>
    <col min="5" max="6" width="12.25390625" style="110" bestFit="1" customWidth="1"/>
    <col min="7" max="16384" width="9.00390625" style="110" customWidth="1"/>
  </cols>
  <sheetData>
    <row r="1" spans="1:4" ht="11.25">
      <c r="A1" s="117" t="s">
        <v>455</v>
      </c>
      <c r="B1" s="117"/>
      <c r="C1" s="117">
        <v>1</v>
      </c>
      <c r="D1" s="121"/>
    </row>
    <row r="2" spans="1:4" ht="11.25">
      <c r="A2" s="103" t="s">
        <v>457</v>
      </c>
      <c r="B2" s="103"/>
      <c r="C2" s="103"/>
      <c r="D2" s="122" t="str">
        <f>T('借受者記入項目'!C4)</f>
        <v>個人申請</v>
      </c>
    </row>
    <row r="3" spans="1:4" ht="11.25">
      <c r="A3" s="100" t="s">
        <v>456</v>
      </c>
      <c r="B3" s="100"/>
      <c r="C3" s="100"/>
      <c r="D3" s="123">
        <f>T('借受者記入項目'!C5)</f>
      </c>
    </row>
    <row r="4" spans="1:4" ht="11.25">
      <c r="A4" s="100" t="s">
        <v>458</v>
      </c>
      <c r="B4" s="100"/>
      <c r="C4" s="100">
        <v>2</v>
      </c>
      <c r="D4" s="123">
        <f>T('借受者記入項目'!C6)</f>
      </c>
    </row>
    <row r="5" spans="1:4" ht="11.25">
      <c r="A5" s="100" t="s">
        <v>1168</v>
      </c>
      <c r="B5" s="100"/>
      <c r="C5" s="100"/>
      <c r="D5" s="124">
        <f>T('借受者記入項目'!M5)</f>
      </c>
    </row>
    <row r="6" spans="1:4" ht="11.25">
      <c r="A6" s="100" t="s">
        <v>1169</v>
      </c>
      <c r="B6" s="100"/>
      <c r="C6" s="100"/>
      <c r="D6" s="124">
        <f>T('借受者記入項目'!M6)</f>
      </c>
    </row>
    <row r="7" spans="1:4" ht="11.25">
      <c r="A7" s="100" t="s">
        <v>749</v>
      </c>
      <c r="B7" s="100"/>
      <c r="C7" s="100"/>
      <c r="D7" s="124">
        <f>T('借受者記入項目'!T5)</f>
      </c>
    </row>
    <row r="8" spans="1:4" ht="11.25">
      <c r="A8" s="100" t="s">
        <v>1170</v>
      </c>
      <c r="B8" s="100"/>
      <c r="C8" s="100"/>
      <c r="D8" s="124">
        <f>T('借受者記入項目'!C7)</f>
      </c>
    </row>
    <row r="9" spans="1:4" ht="11.25">
      <c r="A9" s="100" t="s">
        <v>1171</v>
      </c>
      <c r="B9" s="100"/>
      <c r="C9" s="100"/>
      <c r="D9" s="124">
        <f>T('借受者記入項目'!J7)</f>
      </c>
    </row>
    <row r="10" spans="1:4" ht="11.25">
      <c r="A10" s="101" t="s">
        <v>1172</v>
      </c>
      <c r="B10" s="101"/>
      <c r="C10" s="101"/>
      <c r="D10" s="125">
        <f>T('借受者記入項目'!M7)</f>
      </c>
    </row>
    <row r="11" spans="1:4" ht="11.25">
      <c r="A11" s="103" t="s">
        <v>1173</v>
      </c>
      <c r="B11" s="103"/>
      <c r="C11" s="103"/>
      <c r="D11" s="135">
        <f>'借受者記入項目'!G12</f>
        <v>0</v>
      </c>
    </row>
    <row r="12" spans="1:4" ht="11.25">
      <c r="A12" s="100" t="s">
        <v>1174</v>
      </c>
      <c r="B12" s="100"/>
      <c r="C12" s="100"/>
      <c r="D12" s="136">
        <f>'借受者記入項目'!L12</f>
        <v>0</v>
      </c>
    </row>
    <row r="13" spans="1:4" ht="11.25">
      <c r="A13" s="100" t="s">
        <v>433</v>
      </c>
      <c r="B13" s="100"/>
      <c r="C13" s="100"/>
      <c r="D13" s="136" t="s">
        <v>1247</v>
      </c>
    </row>
    <row r="14" spans="1:4" ht="11.25">
      <c r="A14" s="100" t="s">
        <v>1175</v>
      </c>
      <c r="B14" s="100"/>
      <c r="C14" s="100"/>
      <c r="D14" s="136">
        <f>'借受者記入項目'!G16</f>
        <v>0</v>
      </c>
    </row>
    <row r="15" spans="1:4" ht="11.25">
      <c r="A15" s="100" t="s">
        <v>1176</v>
      </c>
      <c r="B15" s="100"/>
      <c r="C15" s="100"/>
      <c r="D15" s="136">
        <f>'借受者記入項目'!L16</f>
        <v>0</v>
      </c>
    </row>
    <row r="16" spans="1:4" ht="11.25">
      <c r="A16" s="100" t="s">
        <v>1177</v>
      </c>
      <c r="B16" s="100"/>
      <c r="C16" s="100"/>
      <c r="D16" s="136">
        <f>'借受者記入項目'!Q16</f>
        <v>0</v>
      </c>
    </row>
    <row r="17" spans="1:4" ht="11.25">
      <c r="A17" s="103" t="s">
        <v>459</v>
      </c>
      <c r="B17" s="103"/>
      <c r="C17" s="103"/>
      <c r="D17" s="126" t="str">
        <f>T('借受者記入項目'!E19)</f>
        <v>畜産排水対策緊急支援事業</v>
      </c>
    </row>
    <row r="18" spans="1:4" ht="11.25">
      <c r="A18" s="100" t="s">
        <v>1178</v>
      </c>
      <c r="B18" s="100"/>
      <c r="C18" s="100"/>
      <c r="D18" s="124">
        <f>T('借受者記入項目'!W19)</f>
      </c>
    </row>
    <row r="19" spans="1:4" ht="11.25">
      <c r="A19" s="100" t="s">
        <v>460</v>
      </c>
      <c r="B19" s="100"/>
      <c r="C19" s="100"/>
      <c r="D19" s="124">
        <f>'借受者記入項目'!E21</f>
        <v>5</v>
      </c>
    </row>
    <row r="20" spans="1:4" ht="11.25">
      <c r="A20" s="101" t="s">
        <v>1179</v>
      </c>
      <c r="B20" s="101"/>
      <c r="C20" s="101"/>
      <c r="D20" s="132">
        <f>'借受者記入項目'!L21</f>
        <v>0</v>
      </c>
    </row>
    <row r="21" spans="1:4" ht="11.25">
      <c r="A21" s="102" t="s">
        <v>1180</v>
      </c>
      <c r="B21" s="102"/>
      <c r="C21" s="102"/>
      <c r="D21" s="127" t="s">
        <v>685</v>
      </c>
    </row>
    <row r="22" spans="1:4" ht="11.25">
      <c r="A22" s="103" t="s">
        <v>1181</v>
      </c>
      <c r="B22" s="103"/>
      <c r="C22" s="103"/>
      <c r="D22" s="135">
        <f>T('借受者記入項目'!E23)</f>
      </c>
    </row>
    <row r="23" spans="1:4" ht="11.25">
      <c r="A23" s="100" t="s">
        <v>1182</v>
      </c>
      <c r="B23" s="100"/>
      <c r="C23" s="100">
        <v>3</v>
      </c>
      <c r="D23" s="136">
        <f>T('借受者記入項目'!E24)</f>
      </c>
    </row>
    <row r="24" spans="1:4" ht="11.25">
      <c r="A24" s="100" t="s">
        <v>1183</v>
      </c>
      <c r="B24" s="100"/>
      <c r="C24" s="100"/>
      <c r="D24" s="136">
        <f>T('借受者記入項目'!E25)</f>
      </c>
    </row>
    <row r="25" spans="1:4" ht="11.25">
      <c r="A25" s="100" t="s">
        <v>1184</v>
      </c>
      <c r="B25" s="100"/>
      <c r="C25" s="100"/>
      <c r="D25" s="136">
        <f>T('借受者記入項目'!E26)</f>
      </c>
    </row>
    <row r="26" spans="1:4" ht="11.25">
      <c r="A26" s="100" t="s">
        <v>1185</v>
      </c>
      <c r="B26" s="100"/>
      <c r="C26" s="100"/>
      <c r="D26" s="141">
        <f>'借受者記入項目'!E27</f>
        <v>0</v>
      </c>
    </row>
    <row r="27" spans="1:4" ht="11.25">
      <c r="A27" s="100" t="s">
        <v>1186</v>
      </c>
      <c r="B27" s="100"/>
      <c r="C27" s="100"/>
      <c r="D27" s="141">
        <f>'借受者記入項目'!E28</f>
        <v>0</v>
      </c>
    </row>
    <row r="28" spans="1:4" ht="11.25">
      <c r="A28" s="100" t="s">
        <v>1187</v>
      </c>
      <c r="B28" s="100"/>
      <c r="C28" s="100">
        <v>4</v>
      </c>
      <c r="D28" s="136">
        <f>T('借受者記入項目'!E31)</f>
      </c>
    </row>
    <row r="29" spans="1:4" ht="11.25">
      <c r="A29" s="100" t="s">
        <v>1188</v>
      </c>
      <c r="B29" s="100"/>
      <c r="C29" s="100"/>
      <c r="D29" s="136">
        <f>T('借受者記入項目'!E32)</f>
      </c>
    </row>
    <row r="30" spans="1:4" ht="11.25">
      <c r="A30" s="100" t="s">
        <v>1189</v>
      </c>
      <c r="B30" s="100"/>
      <c r="C30" s="100"/>
      <c r="D30" s="136">
        <f>T('借受者記入項目'!E33)</f>
      </c>
    </row>
    <row r="31" spans="1:4" ht="11.25">
      <c r="A31" s="100" t="s">
        <v>461</v>
      </c>
      <c r="B31" s="100"/>
      <c r="C31" s="100"/>
      <c r="D31" s="136">
        <f>T('借受者記入項目'!E34)</f>
      </c>
    </row>
    <row r="32" spans="1:4" ht="11.25">
      <c r="A32" s="100" t="s">
        <v>1190</v>
      </c>
      <c r="B32" s="100"/>
      <c r="C32" s="100"/>
      <c r="D32" s="150">
        <f>'借受者記入項目'!E35</f>
        <v>0</v>
      </c>
    </row>
    <row r="33" spans="1:4" ht="11.25">
      <c r="A33" s="149" t="s">
        <v>1242</v>
      </c>
      <c r="B33" s="149"/>
      <c r="C33" s="149"/>
      <c r="D33" s="137" t="s">
        <v>1247</v>
      </c>
    </row>
    <row r="34" spans="1:4" ht="11.25">
      <c r="A34" s="100" t="s">
        <v>825</v>
      </c>
      <c r="B34" s="100"/>
      <c r="C34" s="100"/>
      <c r="D34" s="136">
        <f>T('借受者記入項目'!E36)</f>
      </c>
    </row>
    <row r="35" spans="1:4" ht="11.25">
      <c r="A35" s="100" t="s">
        <v>1</v>
      </c>
      <c r="B35" s="100"/>
      <c r="C35" s="100"/>
      <c r="D35" s="136" t="s">
        <v>1247</v>
      </c>
    </row>
    <row r="36" spans="1:4" ht="11.25">
      <c r="A36" s="100" t="s">
        <v>826</v>
      </c>
      <c r="B36" s="100"/>
      <c r="C36" s="100"/>
      <c r="D36" s="136">
        <f>T('借受者記入項目'!E38)</f>
      </c>
    </row>
    <row r="37" spans="1:4" ht="11.25">
      <c r="A37" s="100" t="s">
        <v>827</v>
      </c>
      <c r="B37" s="100"/>
      <c r="C37" s="100"/>
      <c r="D37" s="136">
        <f>T('借受者記入項目'!E37)</f>
      </c>
    </row>
    <row r="38" spans="1:4" ht="11.25">
      <c r="A38" s="149" t="s">
        <v>1191</v>
      </c>
      <c r="B38" s="149"/>
      <c r="C38" s="149"/>
      <c r="D38" s="137">
        <f>T('借受者記入項目'!E40)</f>
      </c>
    </row>
    <row r="39" spans="1:4" ht="11.25">
      <c r="A39" s="100" t="s">
        <v>1192</v>
      </c>
      <c r="B39" s="100"/>
      <c r="C39" s="100"/>
      <c r="D39" s="150">
        <f>'借受者記入項目'!E41</f>
        <v>0</v>
      </c>
    </row>
    <row r="40" spans="1:4" ht="11.25">
      <c r="A40" s="100" t="s">
        <v>1193</v>
      </c>
      <c r="B40" s="100"/>
      <c r="C40" s="100"/>
      <c r="D40" s="142">
        <f>T('借受者記入項目'!E42)</f>
      </c>
    </row>
    <row r="41" spans="1:4" ht="11.25">
      <c r="A41" s="100" t="s">
        <v>1194</v>
      </c>
      <c r="B41" s="100"/>
      <c r="C41" s="100"/>
      <c r="D41" s="141">
        <f>'借受者記入項目'!E43</f>
        <v>0</v>
      </c>
    </row>
    <row r="42" spans="1:4" ht="11.25">
      <c r="A42" s="100" t="s">
        <v>1195</v>
      </c>
      <c r="B42" s="100"/>
      <c r="C42" s="100"/>
      <c r="D42" s="136">
        <f>T('借受者記入項目'!E44)</f>
      </c>
    </row>
    <row r="43" spans="1:4" ht="11.25">
      <c r="A43" s="100" t="s">
        <v>1196</v>
      </c>
      <c r="B43" s="100"/>
      <c r="C43" s="100"/>
      <c r="D43" s="141">
        <f>'借受者記入項目'!E45</f>
        <v>0</v>
      </c>
    </row>
    <row r="44" spans="1:4" ht="11.25">
      <c r="A44" s="100" t="s">
        <v>1197</v>
      </c>
      <c r="B44" s="100"/>
      <c r="C44" s="100"/>
      <c r="D44" s="136">
        <f>T('借受者記入項目'!E46)</f>
      </c>
    </row>
    <row r="45" spans="1:4" ht="11.25">
      <c r="A45" s="100" t="s">
        <v>1198</v>
      </c>
      <c r="B45" s="100"/>
      <c r="C45" s="100"/>
      <c r="D45" s="141">
        <f>'借受者記入項目'!E47</f>
        <v>0</v>
      </c>
    </row>
    <row r="46" spans="1:4" ht="11.25">
      <c r="A46" s="149" t="s">
        <v>1199</v>
      </c>
      <c r="B46" s="149"/>
      <c r="C46" s="149"/>
      <c r="D46" s="137">
        <f>T('借受者記入項目'!E49)</f>
      </c>
    </row>
    <row r="47" spans="1:4" ht="11.25">
      <c r="A47" s="100" t="s">
        <v>1200</v>
      </c>
      <c r="B47" s="100"/>
      <c r="C47" s="100"/>
      <c r="D47" s="136">
        <f>T('借受者記入項目'!E50)</f>
      </c>
    </row>
    <row r="48" spans="1:4" ht="11.25">
      <c r="A48" s="100" t="s">
        <v>1201</v>
      </c>
      <c r="B48" s="100"/>
      <c r="C48" s="100"/>
      <c r="D48" s="136">
        <f>T('借受者記入項目'!E51)</f>
      </c>
    </row>
    <row r="49" spans="1:4" ht="11.25">
      <c r="A49" s="100" t="s">
        <v>1202</v>
      </c>
      <c r="B49" s="100"/>
      <c r="C49" s="100"/>
      <c r="D49" s="136">
        <f>T('借受者記入項目'!E52)</f>
      </c>
    </row>
    <row r="50" spans="1:4" ht="11.25">
      <c r="A50" s="100" t="s">
        <v>1203</v>
      </c>
      <c r="B50" s="100"/>
      <c r="C50" s="100"/>
      <c r="D50" s="136">
        <f>T('借受者記入項目'!E53)</f>
      </c>
    </row>
    <row r="51" spans="1:4" ht="11.25">
      <c r="A51" s="100" t="s">
        <v>1204</v>
      </c>
      <c r="B51" s="100"/>
      <c r="C51" s="100"/>
      <c r="D51" s="136">
        <f>T('借受者記入項目'!E54)</f>
      </c>
    </row>
    <row r="52" spans="1:4" ht="11.25">
      <c r="A52" s="103" t="s">
        <v>1205</v>
      </c>
      <c r="B52" s="103"/>
      <c r="C52" s="103"/>
      <c r="D52" s="135">
        <f>T('借受者記入項目'!J23)</f>
      </c>
    </row>
    <row r="53" spans="1:4" ht="11.25">
      <c r="A53" s="100" t="s">
        <v>1206</v>
      </c>
      <c r="B53" s="100"/>
      <c r="C53" s="100"/>
      <c r="D53" s="136">
        <f>T('借受者記入項目'!J24)</f>
      </c>
    </row>
    <row r="54" spans="1:4" ht="11.25">
      <c r="A54" s="100" t="s">
        <v>1207</v>
      </c>
      <c r="B54" s="100"/>
      <c r="C54" s="100"/>
      <c r="D54" s="136">
        <f>T('借受者記入項目'!J25)</f>
      </c>
    </row>
    <row r="55" spans="1:4" ht="11.25">
      <c r="A55" s="100" t="s">
        <v>1208</v>
      </c>
      <c r="B55" s="100"/>
      <c r="C55" s="100"/>
      <c r="D55" s="136">
        <f>T('借受者記入項目'!J26)</f>
      </c>
    </row>
    <row r="56" spans="1:4" ht="11.25">
      <c r="A56" s="100" t="s">
        <v>1209</v>
      </c>
      <c r="B56" s="100"/>
      <c r="C56" s="100"/>
      <c r="D56" s="141">
        <f>'借受者記入項目'!J27</f>
        <v>0</v>
      </c>
    </row>
    <row r="57" spans="1:4" ht="11.25">
      <c r="A57" s="100" t="s">
        <v>1210</v>
      </c>
      <c r="B57" s="100"/>
      <c r="C57" s="100"/>
      <c r="D57" s="141">
        <f>'借受者記入項目'!J28</f>
        <v>0</v>
      </c>
    </row>
    <row r="58" spans="1:4" ht="11.25">
      <c r="A58" s="100" t="s">
        <v>1211</v>
      </c>
      <c r="B58" s="100"/>
      <c r="C58" s="100"/>
      <c r="D58" s="136">
        <f>T('借受者記入項目'!J31)</f>
      </c>
    </row>
    <row r="59" spans="1:4" ht="11.25">
      <c r="A59" s="100" t="s">
        <v>1212</v>
      </c>
      <c r="B59" s="100"/>
      <c r="C59" s="100"/>
      <c r="D59" s="136">
        <f>T('借受者記入項目'!J32)</f>
      </c>
    </row>
    <row r="60" spans="1:4" ht="11.25">
      <c r="A60" s="100" t="s">
        <v>1213</v>
      </c>
      <c r="B60" s="100"/>
      <c r="C60" s="100"/>
      <c r="D60" s="136">
        <f>T('借受者記入項目'!J33)</f>
      </c>
    </row>
    <row r="61" spans="1:4" ht="11.25">
      <c r="A61" s="100" t="s">
        <v>462</v>
      </c>
      <c r="B61" s="100"/>
      <c r="C61" s="100"/>
      <c r="D61" s="136">
        <f>T('借受者記入項目'!J34)</f>
      </c>
    </row>
    <row r="62" spans="1:6" ht="11.25">
      <c r="A62" s="100" t="s">
        <v>1214</v>
      </c>
      <c r="B62" s="100"/>
      <c r="C62" s="100"/>
      <c r="D62" s="150">
        <f>'借受者記入項目'!J35</f>
        <v>0</v>
      </c>
      <c r="E62" s="153"/>
      <c r="F62" s="153"/>
    </row>
    <row r="63" spans="1:4" ht="11.25">
      <c r="A63" s="149" t="s">
        <v>1244</v>
      </c>
      <c r="B63" s="149"/>
      <c r="C63" s="149"/>
      <c r="D63" s="137" t="s">
        <v>685</v>
      </c>
    </row>
    <row r="64" spans="1:4" ht="11.25">
      <c r="A64" s="100" t="s">
        <v>828</v>
      </c>
      <c r="B64" s="100"/>
      <c r="C64" s="100"/>
      <c r="D64" s="136">
        <f>T('借受者記入項目'!J36)</f>
      </c>
    </row>
    <row r="65" spans="1:4" ht="11.25">
      <c r="A65" s="100" t="s">
        <v>3</v>
      </c>
      <c r="B65" s="100"/>
      <c r="C65" s="100"/>
      <c r="D65" s="136" t="s">
        <v>1247</v>
      </c>
    </row>
    <row r="66" spans="1:4" ht="11.25">
      <c r="A66" s="100" t="s">
        <v>829</v>
      </c>
      <c r="B66" s="100"/>
      <c r="C66" s="100"/>
      <c r="D66" s="136">
        <f>T('借受者記入項目'!J37)</f>
      </c>
    </row>
    <row r="67" spans="1:4" ht="11.25">
      <c r="A67" s="100" t="s">
        <v>830</v>
      </c>
      <c r="B67" s="100"/>
      <c r="C67" s="100"/>
      <c r="D67" s="136">
        <f>T('借受者記入項目'!J38)</f>
      </c>
    </row>
    <row r="68" spans="1:4" ht="11.25">
      <c r="A68" s="149" t="s">
        <v>511</v>
      </c>
      <c r="B68" s="149"/>
      <c r="C68" s="149"/>
      <c r="D68" s="137">
        <f>T('借受者記入項目'!J40)</f>
      </c>
    </row>
    <row r="69" spans="1:4" ht="11.25">
      <c r="A69" s="100" t="s">
        <v>512</v>
      </c>
      <c r="B69" s="100"/>
      <c r="C69" s="100"/>
      <c r="D69" s="150">
        <f>'借受者記入項目'!J41</f>
        <v>0</v>
      </c>
    </row>
    <row r="70" spans="1:4" ht="11.25">
      <c r="A70" s="100" t="s">
        <v>513</v>
      </c>
      <c r="B70" s="100"/>
      <c r="C70" s="100"/>
      <c r="D70" s="142">
        <f>T('借受者記入項目'!J42)</f>
      </c>
    </row>
    <row r="71" spans="1:4" ht="11.25">
      <c r="A71" s="100" t="s">
        <v>514</v>
      </c>
      <c r="B71" s="100"/>
      <c r="C71" s="100"/>
      <c r="D71" s="141">
        <f>'借受者記入項目'!J43</f>
        <v>0</v>
      </c>
    </row>
    <row r="72" spans="1:4" ht="11.25">
      <c r="A72" s="100" t="s">
        <v>515</v>
      </c>
      <c r="B72" s="100"/>
      <c r="C72" s="100"/>
      <c r="D72" s="136">
        <f>T('借受者記入項目'!J44)</f>
      </c>
    </row>
    <row r="73" spans="1:4" ht="11.25">
      <c r="A73" s="100" t="s">
        <v>516</v>
      </c>
      <c r="B73" s="100"/>
      <c r="C73" s="100"/>
      <c r="D73" s="141">
        <f>'借受者記入項目'!J45</f>
        <v>0</v>
      </c>
    </row>
    <row r="74" spans="1:4" ht="11.25">
      <c r="A74" s="100" t="s">
        <v>517</v>
      </c>
      <c r="B74" s="100"/>
      <c r="C74" s="100"/>
      <c r="D74" s="136">
        <f>T('借受者記入項目'!J46)</f>
      </c>
    </row>
    <row r="75" spans="1:4" ht="11.25">
      <c r="A75" s="100" t="s">
        <v>518</v>
      </c>
      <c r="B75" s="100"/>
      <c r="C75" s="100"/>
      <c r="D75" s="141">
        <f>'借受者記入項目'!J47</f>
        <v>0</v>
      </c>
    </row>
    <row r="76" spans="1:4" ht="11.25">
      <c r="A76" s="149" t="s">
        <v>519</v>
      </c>
      <c r="B76" s="149"/>
      <c r="C76" s="149"/>
      <c r="D76" s="137">
        <f>T('借受者記入項目'!J49)</f>
      </c>
    </row>
    <row r="77" spans="1:4" ht="11.25">
      <c r="A77" s="100" t="s">
        <v>520</v>
      </c>
      <c r="B77" s="100"/>
      <c r="C77" s="100"/>
      <c r="D77" s="136">
        <f>T('借受者記入項目'!J50)</f>
      </c>
    </row>
    <row r="78" spans="1:4" ht="11.25">
      <c r="A78" s="100" t="s">
        <v>521</v>
      </c>
      <c r="B78" s="100"/>
      <c r="C78" s="100"/>
      <c r="D78" s="136">
        <f>T('借受者記入項目'!J51)</f>
      </c>
    </row>
    <row r="79" spans="1:4" ht="11.25">
      <c r="A79" s="100" t="s">
        <v>522</v>
      </c>
      <c r="B79" s="100"/>
      <c r="C79" s="100"/>
      <c r="D79" s="136">
        <f>T('借受者記入項目'!J52)</f>
      </c>
    </row>
    <row r="80" spans="1:4" ht="11.25">
      <c r="A80" s="100" t="s">
        <v>523</v>
      </c>
      <c r="B80" s="100"/>
      <c r="C80" s="100"/>
      <c r="D80" s="136">
        <f>T('借受者記入項目'!J53)</f>
      </c>
    </row>
    <row r="81" spans="1:4" ht="11.25">
      <c r="A81" s="100" t="s">
        <v>524</v>
      </c>
      <c r="B81" s="100"/>
      <c r="C81" s="100"/>
      <c r="D81" s="136">
        <f>T('借受者記入項目'!J54)</f>
      </c>
    </row>
    <row r="82" spans="1:4" ht="11.25">
      <c r="A82" s="103" t="s">
        <v>525</v>
      </c>
      <c r="B82" s="103"/>
      <c r="C82" s="103"/>
      <c r="D82" s="135">
        <f>T('借受者記入項目'!O23)</f>
      </c>
    </row>
    <row r="83" spans="1:4" ht="11.25">
      <c r="A83" s="100" t="s">
        <v>526</v>
      </c>
      <c r="B83" s="100"/>
      <c r="C83" s="100"/>
      <c r="D83" s="136">
        <f>T('借受者記入項目'!O24)</f>
      </c>
    </row>
    <row r="84" spans="1:4" ht="11.25">
      <c r="A84" s="100" t="s">
        <v>527</v>
      </c>
      <c r="B84" s="100"/>
      <c r="C84" s="100"/>
      <c r="D84" s="136">
        <f>T('借受者記入項目'!O25)</f>
      </c>
    </row>
    <row r="85" spans="1:4" ht="11.25">
      <c r="A85" s="100" t="s">
        <v>528</v>
      </c>
      <c r="B85" s="100"/>
      <c r="C85" s="100"/>
      <c r="D85" s="136">
        <f>T('借受者記入項目'!O26)</f>
      </c>
    </row>
    <row r="86" spans="1:4" ht="11.25">
      <c r="A86" s="100" t="s">
        <v>529</v>
      </c>
      <c r="B86" s="100"/>
      <c r="C86" s="100"/>
      <c r="D86" s="141">
        <f>'借受者記入項目'!O27</f>
        <v>0</v>
      </c>
    </row>
    <row r="87" spans="1:4" ht="11.25">
      <c r="A87" s="100" t="s">
        <v>530</v>
      </c>
      <c r="B87" s="100"/>
      <c r="C87" s="100"/>
      <c r="D87" s="141">
        <f>'借受者記入項目'!O28</f>
        <v>0</v>
      </c>
    </row>
    <row r="88" spans="1:4" ht="11.25">
      <c r="A88" s="100" t="s">
        <v>531</v>
      </c>
      <c r="B88" s="100"/>
      <c r="C88" s="100"/>
      <c r="D88" s="136">
        <f>T('借受者記入項目'!O31)</f>
      </c>
    </row>
    <row r="89" spans="1:4" ht="11.25">
      <c r="A89" s="100" t="s">
        <v>532</v>
      </c>
      <c r="B89" s="100"/>
      <c r="C89" s="100"/>
      <c r="D89" s="136">
        <f>T('借受者記入項目'!O32)</f>
      </c>
    </row>
    <row r="90" spans="1:4" ht="11.25">
      <c r="A90" s="100" t="s">
        <v>533</v>
      </c>
      <c r="B90" s="100"/>
      <c r="C90" s="100"/>
      <c r="D90" s="136">
        <f>T('借受者記入項目'!O33)</f>
      </c>
    </row>
    <row r="91" spans="1:4" ht="11.25">
      <c r="A91" s="100" t="s">
        <v>463</v>
      </c>
      <c r="B91" s="100"/>
      <c r="C91" s="100"/>
      <c r="D91" s="136">
        <f>T('借受者記入項目'!O34)</f>
      </c>
    </row>
    <row r="92" spans="1:4" ht="11.25">
      <c r="A92" s="100" t="s">
        <v>534</v>
      </c>
      <c r="B92" s="100"/>
      <c r="C92" s="100"/>
      <c r="D92" s="150">
        <f>'借受者記入項目'!O35</f>
        <v>0</v>
      </c>
    </row>
    <row r="93" spans="1:4" ht="11.25">
      <c r="A93" s="149" t="s">
        <v>535</v>
      </c>
      <c r="B93" s="149"/>
      <c r="C93" s="149"/>
      <c r="D93" s="137" t="s">
        <v>536</v>
      </c>
    </row>
    <row r="94" spans="1:4" ht="11.25">
      <c r="A94" s="100" t="s">
        <v>831</v>
      </c>
      <c r="B94" s="100"/>
      <c r="C94" s="100"/>
      <c r="D94" s="136">
        <f>T('借受者記入項目'!O36)</f>
      </c>
    </row>
    <row r="95" spans="1:4" ht="11.25">
      <c r="A95" s="100" t="s">
        <v>5</v>
      </c>
      <c r="B95" s="100"/>
      <c r="C95" s="100"/>
      <c r="D95" s="136" t="s">
        <v>1247</v>
      </c>
    </row>
    <row r="96" spans="1:4" ht="11.25">
      <c r="A96" s="100" t="s">
        <v>832</v>
      </c>
      <c r="B96" s="100"/>
      <c r="C96" s="100"/>
      <c r="D96" s="136">
        <f>T('借受者記入項目'!O37)</f>
      </c>
    </row>
    <row r="97" spans="1:4" ht="11.25">
      <c r="A97" s="100" t="s">
        <v>833</v>
      </c>
      <c r="B97" s="100"/>
      <c r="C97" s="100"/>
      <c r="D97" s="136">
        <f>T('借受者記入項目'!O38)</f>
      </c>
    </row>
    <row r="98" spans="1:4" ht="11.25">
      <c r="A98" s="149" t="s">
        <v>537</v>
      </c>
      <c r="B98" s="149"/>
      <c r="C98" s="149"/>
      <c r="D98" s="137">
        <f>T('借受者記入項目'!O40)</f>
      </c>
    </row>
    <row r="99" spans="1:4" ht="11.25">
      <c r="A99" s="100" t="s">
        <v>538</v>
      </c>
      <c r="B99" s="100"/>
      <c r="C99" s="100"/>
      <c r="D99" s="150">
        <f>'借受者記入項目'!O41</f>
        <v>0</v>
      </c>
    </row>
    <row r="100" spans="1:4" ht="11.25">
      <c r="A100" s="100" t="s">
        <v>539</v>
      </c>
      <c r="B100" s="100"/>
      <c r="C100" s="100"/>
      <c r="D100" s="142">
        <f>T('借受者記入項目'!O42)</f>
      </c>
    </row>
    <row r="101" spans="1:4" ht="11.25">
      <c r="A101" s="100" t="s">
        <v>540</v>
      </c>
      <c r="B101" s="100"/>
      <c r="C101" s="100"/>
      <c r="D101" s="141">
        <f>'借受者記入項目'!O43</f>
        <v>0</v>
      </c>
    </row>
    <row r="102" spans="1:4" ht="11.25">
      <c r="A102" s="100" t="s">
        <v>541</v>
      </c>
      <c r="B102" s="100"/>
      <c r="C102" s="100"/>
      <c r="D102" s="136">
        <f>T('借受者記入項目'!O44)</f>
      </c>
    </row>
    <row r="103" spans="1:4" ht="11.25">
      <c r="A103" s="100" t="s">
        <v>542</v>
      </c>
      <c r="B103" s="100"/>
      <c r="C103" s="100"/>
      <c r="D103" s="141">
        <f>'借受者記入項目'!O45</f>
        <v>0</v>
      </c>
    </row>
    <row r="104" spans="1:4" ht="11.25">
      <c r="A104" s="100" t="s">
        <v>543</v>
      </c>
      <c r="B104" s="100"/>
      <c r="C104" s="100"/>
      <c r="D104" s="136">
        <f>T('借受者記入項目'!O46)</f>
      </c>
    </row>
    <row r="105" spans="1:4" ht="11.25">
      <c r="A105" s="100" t="s">
        <v>544</v>
      </c>
      <c r="B105" s="100"/>
      <c r="C105" s="100"/>
      <c r="D105" s="141">
        <f>'借受者記入項目'!O47</f>
        <v>0</v>
      </c>
    </row>
    <row r="106" spans="1:4" ht="11.25">
      <c r="A106" s="149" t="s">
        <v>545</v>
      </c>
      <c r="B106" s="149"/>
      <c r="C106" s="149"/>
      <c r="D106" s="137">
        <f>T('借受者記入項目'!O49)</f>
      </c>
    </row>
    <row r="107" spans="1:4" ht="11.25">
      <c r="A107" s="100" t="s">
        <v>546</v>
      </c>
      <c r="B107" s="100"/>
      <c r="C107" s="100"/>
      <c r="D107" s="136">
        <f>T('借受者記入項目'!O50)</f>
      </c>
    </row>
    <row r="108" spans="1:4" ht="11.25">
      <c r="A108" s="100" t="s">
        <v>547</v>
      </c>
      <c r="B108" s="100"/>
      <c r="C108" s="100"/>
      <c r="D108" s="136">
        <f>T('借受者記入項目'!O51)</f>
      </c>
    </row>
    <row r="109" spans="1:4" ht="11.25">
      <c r="A109" s="100" t="s">
        <v>548</v>
      </c>
      <c r="B109" s="100"/>
      <c r="C109" s="100"/>
      <c r="D109" s="136">
        <f>T('借受者記入項目'!O52)</f>
      </c>
    </row>
    <row r="110" spans="1:4" ht="11.25">
      <c r="A110" s="100" t="s">
        <v>549</v>
      </c>
      <c r="B110" s="100"/>
      <c r="C110" s="100"/>
      <c r="D110" s="136">
        <f>T('借受者記入項目'!O53)</f>
      </c>
    </row>
    <row r="111" spans="1:4" ht="11.25">
      <c r="A111" s="100" t="s">
        <v>550</v>
      </c>
      <c r="B111" s="100"/>
      <c r="C111" s="100"/>
      <c r="D111" s="136">
        <f>T('借受者記入項目'!O54)</f>
      </c>
    </row>
    <row r="112" spans="1:4" ht="11.25">
      <c r="A112" s="103" t="s">
        <v>551</v>
      </c>
      <c r="B112" s="103"/>
      <c r="C112" s="103"/>
      <c r="D112" s="135">
        <f>T('借受者記入項目'!T23)</f>
      </c>
    </row>
    <row r="113" spans="1:4" ht="11.25">
      <c r="A113" s="100" t="s">
        <v>552</v>
      </c>
      <c r="B113" s="100"/>
      <c r="C113" s="100"/>
      <c r="D113" s="136">
        <f>T('借受者記入項目'!T24)</f>
      </c>
    </row>
    <row r="114" spans="1:4" ht="11.25">
      <c r="A114" s="100" t="s">
        <v>553</v>
      </c>
      <c r="B114" s="100"/>
      <c r="C114" s="100"/>
      <c r="D114" s="136">
        <f>T('借受者記入項目'!T25)</f>
      </c>
    </row>
    <row r="115" spans="1:4" ht="11.25">
      <c r="A115" s="100" t="s">
        <v>554</v>
      </c>
      <c r="B115" s="100"/>
      <c r="C115" s="100"/>
      <c r="D115" s="136">
        <f>T('借受者記入項目'!T26)</f>
      </c>
    </row>
    <row r="116" spans="1:4" ht="11.25">
      <c r="A116" s="100" t="s">
        <v>555</v>
      </c>
      <c r="B116" s="100"/>
      <c r="C116" s="100"/>
      <c r="D116" s="141">
        <f>'借受者記入項目'!T27</f>
        <v>0</v>
      </c>
    </row>
    <row r="117" spans="1:4" ht="11.25">
      <c r="A117" s="100" t="s">
        <v>556</v>
      </c>
      <c r="B117" s="100"/>
      <c r="C117" s="100"/>
      <c r="D117" s="141">
        <f>'借受者記入項目'!T28</f>
        <v>0</v>
      </c>
    </row>
    <row r="118" spans="1:4" ht="11.25">
      <c r="A118" s="100" t="s">
        <v>557</v>
      </c>
      <c r="B118" s="100"/>
      <c r="C118" s="100"/>
      <c r="D118" s="136">
        <f>T('借受者記入項目'!T31)</f>
      </c>
    </row>
    <row r="119" spans="1:4" ht="11.25">
      <c r="A119" s="100" t="s">
        <v>558</v>
      </c>
      <c r="B119" s="100"/>
      <c r="C119" s="100"/>
      <c r="D119" s="136">
        <f>T('借受者記入項目'!T32)</f>
      </c>
    </row>
    <row r="120" spans="1:4" ht="11.25">
      <c r="A120" s="100" t="s">
        <v>559</v>
      </c>
      <c r="B120" s="100"/>
      <c r="C120" s="100"/>
      <c r="D120" s="136">
        <f>T('借受者記入項目'!T33)</f>
      </c>
    </row>
    <row r="121" spans="1:4" ht="11.25">
      <c r="A121" s="100" t="s">
        <v>464</v>
      </c>
      <c r="B121" s="100"/>
      <c r="C121" s="100"/>
      <c r="D121" s="136">
        <f>T('借受者記入項目'!T34)</f>
      </c>
    </row>
    <row r="122" spans="1:4" ht="11.25">
      <c r="A122" s="100" t="s">
        <v>560</v>
      </c>
      <c r="B122" s="100"/>
      <c r="C122" s="100"/>
      <c r="D122" s="150">
        <f>'借受者記入項目'!T35</f>
        <v>0</v>
      </c>
    </row>
    <row r="123" spans="1:4" ht="11.25">
      <c r="A123" s="149" t="s">
        <v>561</v>
      </c>
      <c r="B123" s="149"/>
      <c r="C123" s="149"/>
      <c r="D123" s="137" t="s">
        <v>536</v>
      </c>
    </row>
    <row r="124" spans="1:4" ht="11.25">
      <c r="A124" s="100" t="s">
        <v>834</v>
      </c>
      <c r="B124" s="100"/>
      <c r="C124" s="100"/>
      <c r="D124" s="136">
        <f>T('借受者記入項目'!T36)</f>
      </c>
    </row>
    <row r="125" spans="1:4" ht="11.25">
      <c r="A125" s="100" t="s">
        <v>7</v>
      </c>
      <c r="B125" s="100"/>
      <c r="C125" s="100"/>
      <c r="D125" s="136" t="s">
        <v>1247</v>
      </c>
    </row>
    <row r="126" spans="1:4" ht="11.25">
      <c r="A126" s="100" t="s">
        <v>835</v>
      </c>
      <c r="B126" s="100"/>
      <c r="C126" s="100"/>
      <c r="D126" s="136">
        <f>T('借受者記入項目'!T37)</f>
      </c>
    </row>
    <row r="127" spans="1:4" ht="11.25">
      <c r="A127" s="100" t="s">
        <v>836</v>
      </c>
      <c r="B127" s="100"/>
      <c r="C127" s="100"/>
      <c r="D127" s="136">
        <f>T('借受者記入項目'!T38)</f>
      </c>
    </row>
    <row r="128" spans="1:4" ht="11.25">
      <c r="A128" s="149" t="s">
        <v>562</v>
      </c>
      <c r="B128" s="149"/>
      <c r="C128" s="149"/>
      <c r="D128" s="137">
        <f>T('借受者記入項目'!T40)</f>
      </c>
    </row>
    <row r="129" spans="1:4" ht="11.25">
      <c r="A129" s="100" t="s">
        <v>563</v>
      </c>
      <c r="B129" s="100"/>
      <c r="C129" s="100"/>
      <c r="D129" s="150">
        <f>'借受者記入項目'!T41</f>
        <v>0</v>
      </c>
    </row>
    <row r="130" spans="1:4" ht="11.25">
      <c r="A130" s="100" t="s">
        <v>564</v>
      </c>
      <c r="B130" s="100"/>
      <c r="C130" s="100"/>
      <c r="D130" s="142">
        <f>T('借受者記入項目'!T42)</f>
      </c>
    </row>
    <row r="131" spans="1:4" ht="11.25">
      <c r="A131" s="100" t="s">
        <v>565</v>
      </c>
      <c r="B131" s="100"/>
      <c r="C131" s="100"/>
      <c r="D131" s="141">
        <f>'借受者記入項目'!T43</f>
        <v>0</v>
      </c>
    </row>
    <row r="132" spans="1:4" ht="11.25">
      <c r="A132" s="100" t="s">
        <v>566</v>
      </c>
      <c r="B132" s="100"/>
      <c r="C132" s="100"/>
      <c r="D132" s="136">
        <f>T('借受者記入項目'!T44)</f>
      </c>
    </row>
    <row r="133" spans="1:4" ht="11.25">
      <c r="A133" s="100" t="s">
        <v>567</v>
      </c>
      <c r="B133" s="100"/>
      <c r="C133" s="100"/>
      <c r="D133" s="141">
        <f>'借受者記入項目'!T45</f>
        <v>0</v>
      </c>
    </row>
    <row r="134" spans="1:4" ht="11.25">
      <c r="A134" s="100" t="s">
        <v>568</v>
      </c>
      <c r="B134" s="100"/>
      <c r="C134" s="100"/>
      <c r="D134" s="136">
        <f>T('借受者記入項目'!T46)</f>
      </c>
    </row>
    <row r="135" spans="1:4" ht="11.25">
      <c r="A135" s="100" t="s">
        <v>569</v>
      </c>
      <c r="B135" s="100"/>
      <c r="C135" s="100"/>
      <c r="D135" s="141">
        <f>'借受者記入項目'!T47</f>
        <v>0</v>
      </c>
    </row>
    <row r="136" spans="1:4" ht="11.25">
      <c r="A136" s="149" t="s">
        <v>570</v>
      </c>
      <c r="B136" s="149"/>
      <c r="C136" s="149"/>
      <c r="D136" s="137">
        <f>T('借受者記入項目'!T49)</f>
      </c>
    </row>
    <row r="137" spans="1:4" ht="11.25">
      <c r="A137" s="100" t="s">
        <v>571</v>
      </c>
      <c r="B137" s="100"/>
      <c r="C137" s="100"/>
      <c r="D137" s="136">
        <f>T('借受者記入項目'!T50)</f>
      </c>
    </row>
    <row r="138" spans="1:4" ht="11.25">
      <c r="A138" s="100" t="s">
        <v>572</v>
      </c>
      <c r="B138" s="100"/>
      <c r="C138" s="100"/>
      <c r="D138" s="136">
        <f>T('借受者記入項目'!T51)</f>
      </c>
    </row>
    <row r="139" spans="1:4" ht="11.25">
      <c r="A139" s="100" t="s">
        <v>573</v>
      </c>
      <c r="B139" s="100"/>
      <c r="C139" s="100"/>
      <c r="D139" s="136">
        <f>T('借受者記入項目'!T52)</f>
      </c>
    </row>
    <row r="140" spans="1:4" ht="11.25">
      <c r="A140" s="100" t="s">
        <v>574</v>
      </c>
      <c r="B140" s="100"/>
      <c r="C140" s="100"/>
      <c r="D140" s="136">
        <f>T('借受者記入項目'!T53)</f>
      </c>
    </row>
    <row r="141" spans="1:4" ht="11.25">
      <c r="A141" s="100" t="s">
        <v>575</v>
      </c>
      <c r="B141" s="100"/>
      <c r="C141" s="100"/>
      <c r="D141" s="136">
        <f>T('借受者記入項目'!T54)</f>
      </c>
    </row>
    <row r="142" spans="1:4" ht="11.25">
      <c r="A142" s="103" t="s">
        <v>576</v>
      </c>
      <c r="B142" s="103"/>
      <c r="C142" s="103"/>
      <c r="D142" s="126" t="str">
        <f>T('借受者記入項目'!C57)</f>
        <v>１．本年度の価格安定制度に加入</v>
      </c>
    </row>
    <row r="143" spans="1:4" ht="11.25">
      <c r="A143" s="100" t="s">
        <v>577</v>
      </c>
      <c r="B143" s="100"/>
      <c r="C143" s="100"/>
      <c r="D143" s="124">
        <f>T('借受者記入項目'!M58)</f>
      </c>
    </row>
    <row r="144" spans="1:4" ht="11.25">
      <c r="A144" s="101" t="s">
        <v>578</v>
      </c>
      <c r="B144" s="101"/>
      <c r="C144" s="101"/>
      <c r="D144" s="125">
        <f>T('借受者記入項目'!T58)</f>
      </c>
    </row>
    <row r="145" spans="1:4" ht="11.25">
      <c r="A145" s="149" t="s">
        <v>579</v>
      </c>
      <c r="B145" s="149"/>
      <c r="C145" s="149"/>
      <c r="D145" s="128">
        <f>T('借受者記入項目'!E60)</f>
      </c>
    </row>
    <row r="146" spans="1:4" ht="11.25">
      <c r="A146" s="100" t="s">
        <v>580</v>
      </c>
      <c r="B146" s="100"/>
      <c r="C146" s="100"/>
      <c r="D146" s="124">
        <f>T('借受者記入項目'!E61)</f>
      </c>
    </row>
    <row r="147" spans="1:4" ht="11.25">
      <c r="A147" s="149" t="s">
        <v>581</v>
      </c>
      <c r="B147" s="149"/>
      <c r="C147" s="149"/>
      <c r="D147" s="128">
        <f>T('借受者記入項目'!O60)</f>
      </c>
    </row>
    <row r="148" spans="1:4" ht="11.25">
      <c r="A148" s="100" t="s">
        <v>582</v>
      </c>
      <c r="B148" s="100"/>
      <c r="C148" s="100"/>
      <c r="D148" s="124">
        <f>T('借受者記入項目'!O61)</f>
      </c>
    </row>
    <row r="149" spans="1:4" ht="11.25">
      <c r="A149" s="101" t="s">
        <v>583</v>
      </c>
      <c r="B149" s="101"/>
      <c r="C149" s="101"/>
      <c r="D149" s="125">
        <f>T('借受者記入項目'!O62)</f>
      </c>
    </row>
    <row r="150" spans="1:4" ht="11.25">
      <c r="A150" s="103" t="s">
        <v>584</v>
      </c>
      <c r="B150" s="103"/>
      <c r="C150" s="103"/>
      <c r="D150" s="126">
        <f>T('借受者記入項目'!O64)</f>
      </c>
    </row>
    <row r="151" spans="1:4" ht="11.25">
      <c r="A151" s="100" t="s">
        <v>585</v>
      </c>
      <c r="B151" s="100"/>
      <c r="C151" s="100"/>
      <c r="D151" s="124">
        <f>T('借受者記入項目'!S64)</f>
      </c>
    </row>
    <row r="152" spans="1:4" ht="11.25">
      <c r="A152" s="149" t="s">
        <v>586</v>
      </c>
      <c r="B152" s="149"/>
      <c r="C152" s="149"/>
      <c r="D152" s="128">
        <f>T('借受者記入項目'!O65)</f>
      </c>
    </row>
    <row r="153" spans="1:4" ht="11.25">
      <c r="A153" s="100" t="s">
        <v>587</v>
      </c>
      <c r="B153" s="100"/>
      <c r="C153" s="100"/>
      <c r="D153" s="124">
        <f>T('借受者記入項目'!S65)</f>
      </c>
    </row>
    <row r="154" spans="1:4" ht="11.25">
      <c r="A154" s="149" t="s">
        <v>588</v>
      </c>
      <c r="B154" s="149"/>
      <c r="C154" s="149"/>
      <c r="D154" s="129">
        <f>T('借受者記入項目'!O66)</f>
      </c>
    </row>
    <row r="155" spans="1:4" ht="11.25">
      <c r="A155" s="101" t="s">
        <v>38</v>
      </c>
      <c r="B155" s="101"/>
      <c r="C155" s="101"/>
      <c r="D155" s="125">
        <f>T('借受者記入項目'!S66)</f>
      </c>
    </row>
    <row r="156" spans="1:4" ht="11.25">
      <c r="A156" s="103" t="s">
        <v>39</v>
      </c>
      <c r="B156" s="103"/>
      <c r="C156" s="103"/>
      <c r="D156" s="126">
        <f>T('借受者記入項目'!G69)</f>
      </c>
    </row>
    <row r="157" spans="1:4" ht="11.25">
      <c r="A157" s="100" t="s">
        <v>40</v>
      </c>
      <c r="B157" s="100"/>
      <c r="C157" s="100"/>
      <c r="D157" s="124">
        <f>T('借受者記入項目'!I69)</f>
      </c>
    </row>
    <row r="158" spans="1:4" ht="11.25">
      <c r="A158" s="100" t="s">
        <v>41</v>
      </c>
      <c r="B158" s="100"/>
      <c r="C158" s="100"/>
      <c r="D158" s="124">
        <f>T('借受者記入項目'!K69)</f>
      </c>
    </row>
    <row r="159" spans="1:4" ht="11.25">
      <c r="A159" s="100" t="s">
        <v>42</v>
      </c>
      <c r="B159" s="100"/>
      <c r="C159" s="100"/>
      <c r="D159" s="124">
        <f>T('借受者記入項目'!M69)</f>
      </c>
    </row>
    <row r="160" spans="1:4" ht="11.25">
      <c r="A160" s="100" t="s">
        <v>43</v>
      </c>
      <c r="B160" s="100"/>
      <c r="C160" s="100"/>
      <c r="D160" s="124">
        <f>T('借受者記入項目'!O69)</f>
      </c>
    </row>
    <row r="161" spans="1:4" ht="11.25">
      <c r="A161" s="100" t="s">
        <v>44</v>
      </c>
      <c r="B161" s="100"/>
      <c r="C161" s="100"/>
      <c r="D161" s="124">
        <f>T('借受者記入項目'!Q69)</f>
      </c>
    </row>
    <row r="162" spans="1:4" ht="11.25">
      <c r="A162" s="100" t="s">
        <v>45</v>
      </c>
      <c r="B162" s="100"/>
      <c r="C162" s="100"/>
      <c r="D162" s="123">
        <f>T('借受者記入項目'!S69)</f>
      </c>
    </row>
    <row r="163" spans="1:4" ht="11.25">
      <c r="A163" s="100" t="s">
        <v>46</v>
      </c>
      <c r="B163" s="100"/>
      <c r="C163" s="100"/>
      <c r="D163" s="124">
        <f>T('借受者記入項目'!U69)</f>
      </c>
    </row>
    <row r="164" spans="1:4" ht="11.25">
      <c r="A164" s="149" t="s">
        <v>47</v>
      </c>
      <c r="B164" s="149"/>
      <c r="C164" s="149"/>
      <c r="D164" s="139">
        <f>T('借受者記入項目'!I70)</f>
      </c>
    </row>
    <row r="165" spans="1:4" ht="11.25">
      <c r="A165" s="100" t="s">
        <v>48</v>
      </c>
      <c r="B165" s="100"/>
      <c r="C165" s="100"/>
      <c r="D165" s="124">
        <f>T('借受者記入項目'!Q70)</f>
      </c>
    </row>
    <row r="166" spans="1:4" ht="11.25">
      <c r="A166" s="100" t="s">
        <v>49</v>
      </c>
      <c r="B166" s="100"/>
      <c r="C166" s="100"/>
      <c r="D166" s="140">
        <f>T('借受者記入項目'!I71)</f>
      </c>
    </row>
    <row r="167" spans="1:4" ht="11.25">
      <c r="A167" s="100" t="s">
        <v>50</v>
      </c>
      <c r="B167" s="100"/>
      <c r="C167" s="100"/>
      <c r="D167" s="130">
        <f>T('借受者記入項目'!Q71)</f>
      </c>
    </row>
    <row r="168" spans="1:4" ht="11.25">
      <c r="A168" s="100" t="s">
        <v>51</v>
      </c>
      <c r="B168" s="100"/>
      <c r="C168" s="100"/>
      <c r="D168" s="130">
        <f>T('借受者記入項目'!I72)</f>
      </c>
    </row>
    <row r="169" spans="1:4" ht="11.25">
      <c r="A169" s="100" t="s">
        <v>52</v>
      </c>
      <c r="B169" s="100"/>
      <c r="C169" s="100"/>
      <c r="D169" s="124">
        <f>T('借受者記入項目'!Q72)</f>
      </c>
    </row>
    <row r="170" spans="1:4" ht="11.25">
      <c r="A170" s="101" t="s">
        <v>53</v>
      </c>
      <c r="B170" s="101"/>
      <c r="C170" s="101"/>
      <c r="D170" s="125">
        <f>T('借受者記入項目'!I73)</f>
      </c>
    </row>
    <row r="171" spans="1:4" ht="11.25">
      <c r="A171" s="103" t="s">
        <v>54</v>
      </c>
      <c r="B171" s="103"/>
      <c r="C171" s="103"/>
      <c r="D171" s="126">
        <f>T('借受者記入項目'!C75)</f>
      </c>
    </row>
    <row r="172" spans="1:4" ht="11.25">
      <c r="A172" s="100" t="s">
        <v>55</v>
      </c>
      <c r="B172" s="100"/>
      <c r="C172" s="100"/>
      <c r="D172" s="124">
        <f>T('借受者記入項目'!C76)</f>
      </c>
    </row>
    <row r="173" spans="1:4" ht="11.25">
      <c r="A173" s="100" t="s">
        <v>56</v>
      </c>
      <c r="B173" s="100"/>
      <c r="C173" s="100"/>
      <c r="D173" s="124">
        <f>T('借受者記入項目'!I75)</f>
      </c>
    </row>
    <row r="174" spans="1:4" ht="11.25">
      <c r="A174" s="100" t="s">
        <v>57</v>
      </c>
      <c r="B174" s="100"/>
      <c r="C174" s="100"/>
      <c r="D174" s="124">
        <f>T('借受者記入項目'!I76)</f>
      </c>
    </row>
    <row r="175" spans="1:4" ht="11.25">
      <c r="A175" s="100" t="s">
        <v>58</v>
      </c>
      <c r="B175" s="100"/>
      <c r="C175" s="100"/>
      <c r="D175" s="124">
        <f>T('借受者記入項目'!O75)</f>
      </c>
    </row>
    <row r="176" spans="1:4" ht="11.25">
      <c r="A176" s="100" t="s">
        <v>59</v>
      </c>
      <c r="B176" s="100"/>
      <c r="C176" s="100"/>
      <c r="D176" s="124">
        <f>T('借受者記入項目'!O76)</f>
      </c>
    </row>
    <row r="177" spans="1:4" ht="11.25">
      <c r="A177" s="100" t="s">
        <v>60</v>
      </c>
      <c r="B177" s="100"/>
      <c r="C177" s="100"/>
      <c r="D177" s="124">
        <f>T('借受者記入項目'!U76)</f>
      </c>
    </row>
    <row r="178" spans="1:4" ht="11.25">
      <c r="A178" s="100" t="s">
        <v>61</v>
      </c>
      <c r="B178" s="100"/>
      <c r="C178" s="100"/>
      <c r="D178" s="131">
        <f>T('借受者記入項目'!C77)</f>
      </c>
    </row>
    <row r="179" spans="1:4" ht="11.25">
      <c r="A179" s="100" t="s">
        <v>62</v>
      </c>
      <c r="B179" s="100"/>
      <c r="C179" s="100"/>
      <c r="D179" s="140">
        <f>T('借受者記入項目'!E77)</f>
      </c>
    </row>
    <row r="180" spans="1:4" ht="11.25">
      <c r="A180" s="101" t="s">
        <v>63</v>
      </c>
      <c r="B180" s="101"/>
      <c r="C180" s="101"/>
      <c r="D180" s="125">
        <f>T('借受者記入項目'!R77)</f>
      </c>
    </row>
    <row r="181" spans="1:4" ht="11.25">
      <c r="A181" s="103" t="s">
        <v>372</v>
      </c>
      <c r="B181" s="103"/>
      <c r="C181" s="103"/>
      <c r="D181" s="126"/>
    </row>
    <row r="182" spans="1:4" ht="11.25">
      <c r="A182" s="103" t="s">
        <v>64</v>
      </c>
      <c r="B182" s="103"/>
      <c r="C182" s="103"/>
      <c r="D182" s="126">
        <f>'借受者記入項目'!D79</f>
        <v>0</v>
      </c>
    </row>
    <row r="183" spans="1:4" ht="11.25">
      <c r="A183" s="100" t="s">
        <v>65</v>
      </c>
      <c r="B183" s="100"/>
      <c r="C183" s="100"/>
      <c r="D183" s="124">
        <f>'借受者記入項目'!H79</f>
        <v>0</v>
      </c>
    </row>
    <row r="184" spans="1:4" ht="11.25">
      <c r="A184" s="100" t="s">
        <v>66</v>
      </c>
      <c r="B184" s="100"/>
      <c r="C184" s="100"/>
      <c r="D184" s="131">
        <f>T('借受者記入項目'!J79)</f>
      </c>
    </row>
    <row r="185" spans="1:4" ht="11.25">
      <c r="A185" s="100" t="s">
        <v>67</v>
      </c>
      <c r="B185" s="100"/>
      <c r="C185" s="100"/>
      <c r="D185" s="131">
        <f>T('借受者記入項目'!N79)</f>
      </c>
    </row>
    <row r="186" spans="1:4" ht="11.25">
      <c r="A186" s="100" t="s">
        <v>68</v>
      </c>
      <c r="B186" s="100"/>
      <c r="C186" s="100"/>
      <c r="D186" s="131">
        <f>'借受者記入項目'!U79</f>
        <v>0</v>
      </c>
    </row>
    <row r="187" spans="1:4" ht="11.25">
      <c r="A187" s="100" t="s">
        <v>69</v>
      </c>
      <c r="B187" s="100"/>
      <c r="C187" s="100"/>
      <c r="D187" s="143">
        <f>'借受者記入項目'!W79</f>
        <v>0</v>
      </c>
    </row>
    <row r="188" spans="1:4" ht="11.25">
      <c r="A188" s="100" t="s">
        <v>70</v>
      </c>
      <c r="B188" s="100"/>
      <c r="C188" s="100"/>
      <c r="D188" s="131">
        <f>'借受者記入項目'!D80</f>
        <v>0</v>
      </c>
    </row>
    <row r="189" spans="1:4" ht="11.25">
      <c r="A189" s="100" t="s">
        <v>71</v>
      </c>
      <c r="B189" s="100"/>
      <c r="C189" s="100"/>
      <c r="D189" s="133">
        <f>'借受者記入項目'!D81</f>
        <v>0</v>
      </c>
    </row>
    <row r="190" spans="1:4" ht="11.25">
      <c r="A190" s="100" t="s">
        <v>72</v>
      </c>
      <c r="B190" s="100"/>
      <c r="C190" s="100"/>
      <c r="D190" s="134">
        <f>'借受者記入項目'!D82</f>
        <v>0</v>
      </c>
    </row>
    <row r="191" spans="1:4" ht="11.25">
      <c r="A191" s="100" t="s">
        <v>73</v>
      </c>
      <c r="B191" s="100"/>
      <c r="C191" s="100"/>
      <c r="D191" s="134">
        <f>'借受者記入項目'!I80</f>
        <v>0</v>
      </c>
    </row>
    <row r="192" spans="1:4" ht="11.25">
      <c r="A192" s="100" t="s">
        <v>74</v>
      </c>
      <c r="B192" s="100"/>
      <c r="C192" s="100"/>
      <c r="D192" s="136">
        <f>'借受者記入項目'!J81</f>
        <v>0</v>
      </c>
    </row>
    <row r="193" spans="1:4" ht="11.25">
      <c r="A193" s="100" t="s">
        <v>75</v>
      </c>
      <c r="B193" s="100"/>
      <c r="C193" s="100"/>
      <c r="D193" s="136">
        <f>'借受者記入項目'!I82</f>
        <v>0</v>
      </c>
    </row>
    <row r="194" spans="1:4" ht="11.25">
      <c r="A194" s="100" t="s">
        <v>76</v>
      </c>
      <c r="B194" s="100"/>
      <c r="C194" s="100"/>
      <c r="D194" s="141">
        <f>'借受者記入項目'!L81</f>
        <v>0</v>
      </c>
    </row>
    <row r="195" spans="1:4" ht="11.25">
      <c r="A195" s="100" t="s">
        <v>77</v>
      </c>
      <c r="B195" s="100"/>
      <c r="C195" s="100"/>
      <c r="D195" s="136">
        <f>T('借受者記入項目'!Q80)</f>
      </c>
    </row>
    <row r="196" spans="1:4" ht="11.25">
      <c r="A196" s="100" t="s">
        <v>78</v>
      </c>
      <c r="B196" s="100"/>
      <c r="C196" s="100"/>
      <c r="D196" s="136">
        <f>T('借受者記入項目'!M82)</f>
      </c>
    </row>
    <row r="197" spans="1:4" ht="11.25">
      <c r="A197" s="100" t="s">
        <v>79</v>
      </c>
      <c r="B197" s="100"/>
      <c r="C197" s="100"/>
      <c r="D197" s="136">
        <f>T('借受者記入項目'!D83)</f>
      </c>
    </row>
    <row r="198" spans="1:4" ht="11.25">
      <c r="A198" s="101" t="s">
        <v>80</v>
      </c>
      <c r="B198" s="101"/>
      <c r="C198" s="101"/>
      <c r="D198" s="138">
        <f>T('借受者記入項目'!H83)</f>
      </c>
    </row>
    <row r="199" spans="1:4" ht="11.25">
      <c r="A199" s="103" t="s">
        <v>820</v>
      </c>
      <c r="B199" s="103"/>
      <c r="C199" s="103"/>
      <c r="D199" s="135">
        <f>現状_家畜飼養状況_肉豚</f>
        <v>0</v>
      </c>
    </row>
    <row r="200" spans="1:4" ht="11.25">
      <c r="A200" s="100" t="s">
        <v>821</v>
      </c>
      <c r="B200" s="100"/>
      <c r="C200" s="100"/>
      <c r="D200" s="136">
        <f>現状_家畜飼養状況_採卵鶏</f>
        <v>0</v>
      </c>
    </row>
    <row r="201" spans="1:4" ht="11.25">
      <c r="A201" s="101" t="s">
        <v>589</v>
      </c>
      <c r="B201" s="101"/>
      <c r="C201" s="101"/>
      <c r="D201" s="138">
        <f>現状_家畜飼養状況_ブロイラー</f>
        <v>0</v>
      </c>
    </row>
    <row r="202" spans="1:4" ht="11.25">
      <c r="A202" s="103" t="s">
        <v>590</v>
      </c>
      <c r="B202" s="103"/>
      <c r="C202" s="103"/>
      <c r="D202" s="135">
        <f>'借受者記入項目'!F88</f>
        <v>0</v>
      </c>
    </row>
    <row r="203" spans="1:4" ht="11.25">
      <c r="A203" s="100" t="s">
        <v>591</v>
      </c>
      <c r="B203" s="100"/>
      <c r="C203" s="100"/>
      <c r="D203" s="135">
        <f>T('借受者記入項目'!A90)</f>
      </c>
    </row>
    <row r="204" spans="1:4" ht="11.25">
      <c r="A204" s="100" t="s">
        <v>592</v>
      </c>
      <c r="B204" s="100"/>
      <c r="C204" s="100"/>
      <c r="D204" s="136">
        <f>T('借受者記入項目'!D90)</f>
      </c>
    </row>
    <row r="205" spans="1:4" ht="11.25">
      <c r="A205" s="100" t="s">
        <v>593</v>
      </c>
      <c r="B205" s="100"/>
      <c r="C205" s="100"/>
      <c r="D205" s="136">
        <f>T('借受者記入項目'!I90)</f>
      </c>
    </row>
    <row r="206" spans="1:4" ht="11.25">
      <c r="A206" s="100" t="s">
        <v>594</v>
      </c>
      <c r="B206" s="100"/>
      <c r="C206" s="100"/>
      <c r="D206" s="137">
        <f>T('借受者記入項目'!A91)</f>
      </c>
    </row>
    <row r="207" spans="1:4" ht="11.25">
      <c r="A207" s="100" t="s">
        <v>595</v>
      </c>
      <c r="B207" s="100"/>
      <c r="C207" s="100"/>
      <c r="D207" s="136">
        <f>T('借受者記入項目'!D91)</f>
      </c>
    </row>
    <row r="208" spans="1:4" ht="11.25">
      <c r="A208" s="100" t="s">
        <v>596</v>
      </c>
      <c r="B208" s="100"/>
      <c r="C208" s="100"/>
      <c r="D208" s="136">
        <f>T('借受者記入項目'!I91)</f>
      </c>
    </row>
    <row r="209" spans="1:4" ht="11.25">
      <c r="A209" s="100" t="s">
        <v>597</v>
      </c>
      <c r="B209" s="100"/>
      <c r="C209" s="100"/>
      <c r="D209" s="137">
        <f>T('借受者記入項目'!A92)</f>
      </c>
    </row>
    <row r="210" spans="1:4" ht="11.25">
      <c r="A210" s="100" t="s">
        <v>598</v>
      </c>
      <c r="B210" s="100"/>
      <c r="C210" s="100"/>
      <c r="D210" s="136">
        <f>T('借受者記入項目'!D92)</f>
      </c>
    </row>
    <row r="211" spans="1:4" ht="11.25">
      <c r="A211" s="100" t="s">
        <v>599</v>
      </c>
      <c r="B211" s="100"/>
      <c r="C211" s="100"/>
      <c r="D211" s="136">
        <f>T('借受者記入項目'!I92)</f>
      </c>
    </row>
    <row r="212" spans="1:4" ht="11.25">
      <c r="A212" s="100" t="s">
        <v>600</v>
      </c>
      <c r="B212" s="100"/>
      <c r="C212" s="100"/>
      <c r="D212" s="137">
        <f>T('借受者記入項目'!A93)</f>
      </c>
    </row>
    <row r="213" spans="1:4" ht="11.25">
      <c r="A213" s="100" t="s">
        <v>601</v>
      </c>
      <c r="B213" s="100"/>
      <c r="C213" s="100"/>
      <c r="D213" s="136">
        <f>T('借受者記入項目'!D93)</f>
      </c>
    </row>
    <row r="214" spans="1:4" ht="11.25">
      <c r="A214" s="100" t="s">
        <v>602</v>
      </c>
      <c r="B214" s="100"/>
      <c r="C214" s="100"/>
      <c r="D214" s="136">
        <f>T('借受者記入項目'!I93)</f>
      </c>
    </row>
    <row r="215" spans="1:4" ht="11.25">
      <c r="A215" s="100" t="s">
        <v>603</v>
      </c>
      <c r="B215" s="100"/>
      <c r="C215" s="100"/>
      <c r="D215" s="137">
        <f>T('借受者記入項目'!A94)</f>
      </c>
    </row>
    <row r="216" spans="1:4" ht="11.25">
      <c r="A216" s="100" t="s">
        <v>604</v>
      </c>
      <c r="B216" s="100"/>
      <c r="C216" s="100"/>
      <c r="D216" s="136">
        <f>T('借受者記入項目'!D94)</f>
      </c>
    </row>
    <row r="217" spans="1:4" ht="11.25">
      <c r="A217" s="100" t="s">
        <v>605</v>
      </c>
      <c r="B217" s="100"/>
      <c r="C217" s="100"/>
      <c r="D217" s="136">
        <f>T('借受者記入項目'!I94)</f>
      </c>
    </row>
    <row r="218" spans="1:4" ht="11.25">
      <c r="A218" s="100" t="s">
        <v>608</v>
      </c>
      <c r="B218" s="100"/>
      <c r="C218" s="100"/>
      <c r="D218" s="137">
        <f>T('借受者記入項目'!A95)</f>
      </c>
    </row>
    <row r="219" spans="1:4" ht="11.25">
      <c r="A219" s="100" t="s">
        <v>609</v>
      </c>
      <c r="B219" s="100"/>
      <c r="C219" s="100"/>
      <c r="D219" s="136">
        <f>T('借受者記入項目'!D95)</f>
      </c>
    </row>
    <row r="220" spans="1:4" ht="11.25">
      <c r="A220" s="100" t="s">
        <v>610</v>
      </c>
      <c r="B220" s="100"/>
      <c r="C220" s="100"/>
      <c r="D220" s="136">
        <f>T('借受者記入項目'!I95)</f>
      </c>
    </row>
    <row r="221" spans="1:4" ht="11.25">
      <c r="A221" s="100" t="s">
        <v>611</v>
      </c>
      <c r="B221" s="100"/>
      <c r="C221" s="100"/>
      <c r="D221" s="137">
        <f>T('借受者記入項目'!A96)</f>
      </c>
    </row>
    <row r="222" spans="1:4" ht="11.25">
      <c r="A222" s="100" t="s">
        <v>612</v>
      </c>
      <c r="B222" s="100"/>
      <c r="C222" s="100"/>
      <c r="D222" s="136">
        <f>T('借受者記入項目'!D96)</f>
      </c>
    </row>
    <row r="223" spans="1:4" ht="11.25">
      <c r="A223" s="100" t="s">
        <v>613</v>
      </c>
      <c r="B223" s="100"/>
      <c r="C223" s="100"/>
      <c r="D223" s="136">
        <f>T('借受者記入項目'!I96)</f>
      </c>
    </row>
    <row r="224" spans="1:4" ht="11.25">
      <c r="A224" s="100" t="s">
        <v>614</v>
      </c>
      <c r="B224" s="100"/>
      <c r="C224" s="100"/>
      <c r="D224" s="137">
        <f>T('借受者記入項目'!A97)</f>
      </c>
    </row>
    <row r="225" spans="1:4" ht="11.25">
      <c r="A225" s="100" t="s">
        <v>615</v>
      </c>
      <c r="B225" s="100"/>
      <c r="C225" s="100"/>
      <c r="D225" s="136">
        <f>T('借受者記入項目'!D97)</f>
      </c>
    </row>
    <row r="226" spans="1:4" ht="11.25">
      <c r="A226" s="100" t="s">
        <v>616</v>
      </c>
      <c r="B226" s="100"/>
      <c r="C226" s="100"/>
      <c r="D226" s="136">
        <f>T('借受者記入項目'!I97)</f>
      </c>
    </row>
    <row r="227" spans="1:4" ht="11.25">
      <c r="A227" s="100" t="s">
        <v>617</v>
      </c>
      <c r="B227" s="100"/>
      <c r="C227" s="100"/>
      <c r="D227" s="137">
        <f>T('借受者記入項目'!A98)</f>
      </c>
    </row>
    <row r="228" spans="1:4" ht="11.25">
      <c r="A228" s="100" t="s">
        <v>618</v>
      </c>
      <c r="B228" s="100"/>
      <c r="C228" s="100"/>
      <c r="D228" s="136">
        <f>T('借受者記入項目'!D98)</f>
      </c>
    </row>
    <row r="229" spans="1:4" ht="11.25">
      <c r="A229" s="100" t="s">
        <v>619</v>
      </c>
      <c r="B229" s="100"/>
      <c r="C229" s="100"/>
      <c r="D229" s="136">
        <f>T('借受者記入項目'!I98)</f>
      </c>
    </row>
    <row r="230" spans="1:4" ht="11.25">
      <c r="A230" s="100" t="s">
        <v>620</v>
      </c>
      <c r="B230" s="100"/>
      <c r="C230" s="100"/>
      <c r="D230" s="137">
        <f>T('借受者記入項目'!A99)</f>
      </c>
    </row>
    <row r="231" spans="1:4" ht="11.25">
      <c r="A231" s="100" t="s">
        <v>621</v>
      </c>
      <c r="B231" s="100"/>
      <c r="C231" s="100"/>
      <c r="D231" s="136">
        <f>T('借受者記入項目'!D99)</f>
      </c>
    </row>
    <row r="232" spans="1:4" ht="11.25">
      <c r="A232" s="100" t="s">
        <v>622</v>
      </c>
      <c r="B232" s="100"/>
      <c r="C232" s="100"/>
      <c r="D232" s="136">
        <f>T('借受者記入項目'!I97)</f>
      </c>
    </row>
    <row r="233" spans="1:4" ht="11.25">
      <c r="A233" s="100" t="s">
        <v>623</v>
      </c>
      <c r="B233" s="100"/>
      <c r="C233" s="100"/>
      <c r="D233" s="137">
        <f>T('借受者記入項目'!A100)</f>
      </c>
    </row>
    <row r="234" spans="1:4" ht="11.25">
      <c r="A234" s="100" t="s">
        <v>624</v>
      </c>
      <c r="B234" s="100"/>
      <c r="C234" s="100"/>
      <c r="D234" s="136">
        <f>T('借受者記入項目'!D100)</f>
      </c>
    </row>
    <row r="235" spans="1:4" ht="11.25">
      <c r="A235" s="100" t="s">
        <v>625</v>
      </c>
      <c r="B235" s="100"/>
      <c r="C235" s="100"/>
      <c r="D235" s="136">
        <f>T('借受者記入項目'!I100)</f>
      </c>
    </row>
    <row r="236" spans="1:4" ht="11.25">
      <c r="A236" s="100" t="s">
        <v>626</v>
      </c>
      <c r="B236" s="100"/>
      <c r="C236" s="100"/>
      <c r="D236" s="137">
        <f>T('借受者記入項目'!A101)</f>
      </c>
    </row>
    <row r="237" spans="1:4" ht="11.25">
      <c r="A237" s="100" t="s">
        <v>627</v>
      </c>
      <c r="B237" s="100"/>
      <c r="C237" s="100"/>
      <c r="D237" s="136">
        <f>T('借受者記入項目'!D101)</f>
      </c>
    </row>
    <row r="238" spans="1:4" ht="11.25">
      <c r="A238" s="100" t="s">
        <v>628</v>
      </c>
      <c r="B238" s="100"/>
      <c r="C238" s="100"/>
      <c r="D238" s="138">
        <f>T('借受者記入項目'!I101)</f>
      </c>
    </row>
    <row r="239" spans="1:4" ht="11.25">
      <c r="A239" s="101" t="s">
        <v>629</v>
      </c>
      <c r="B239" s="101"/>
      <c r="C239" s="101"/>
      <c r="D239" s="138">
        <f>T('借受者記入項目'!G103)</f>
      </c>
    </row>
    <row r="240" spans="1:4" ht="11.25">
      <c r="A240" s="100" t="s">
        <v>81</v>
      </c>
      <c r="B240" s="100"/>
      <c r="C240" s="100">
        <v>5</v>
      </c>
      <c r="D240" s="151">
        <f ca="1">NOW()</f>
        <v>40038.394947685185</v>
      </c>
    </row>
    <row r="241" spans="1:4" ht="11.25">
      <c r="A241" s="100" t="s">
        <v>822</v>
      </c>
      <c r="B241" s="100"/>
      <c r="C241" s="100"/>
      <c r="D241" s="136">
        <f>現状_飼料畑_田借受</f>
        <v>0</v>
      </c>
    </row>
    <row r="242" spans="1:4" ht="11.25">
      <c r="A242" s="100" t="s">
        <v>823</v>
      </c>
      <c r="B242" s="100"/>
      <c r="C242" s="100"/>
      <c r="D242" s="136">
        <f>現状_飼料畑_畑借受</f>
        <v>0</v>
      </c>
    </row>
    <row r="243" spans="1:4" ht="11.25">
      <c r="A243" s="100" t="s">
        <v>824</v>
      </c>
      <c r="B243" s="100"/>
      <c r="C243" s="100"/>
      <c r="D243" s="136">
        <f>現状_飼料畑_草地借受</f>
        <v>0</v>
      </c>
    </row>
    <row r="244" spans="1:4" ht="11.25">
      <c r="A244" s="101" t="s">
        <v>630</v>
      </c>
      <c r="B244" s="101"/>
      <c r="C244" s="101"/>
      <c r="D244" s="138" t="s">
        <v>631</v>
      </c>
    </row>
    <row r="245" spans="1:4" ht="11.25">
      <c r="A245" s="103" t="s">
        <v>1235</v>
      </c>
      <c r="B245" s="103"/>
      <c r="C245" s="103"/>
      <c r="D245" s="254">
        <f>現状_家畜飼養状況_乳牛_委託</f>
        <v>0</v>
      </c>
    </row>
    <row r="246" spans="1:4" ht="11.25">
      <c r="A246" s="100" t="s">
        <v>8</v>
      </c>
      <c r="B246" s="100"/>
      <c r="C246" s="100"/>
      <c r="D246" s="142">
        <f>現状_家畜飼養状況_肉牛_委託</f>
        <v>0</v>
      </c>
    </row>
    <row r="247" spans="1:4" ht="11.25">
      <c r="A247" s="100" t="s">
        <v>9</v>
      </c>
      <c r="B247" s="100"/>
      <c r="C247" s="100"/>
      <c r="D247" s="142">
        <f>現状_家畜飼養状況_肉豚_委託</f>
        <v>0</v>
      </c>
    </row>
    <row r="248" spans="1:4" ht="11.25">
      <c r="A248" s="100" t="s">
        <v>10</v>
      </c>
      <c r="B248" s="100"/>
      <c r="C248" s="100"/>
      <c r="D248" s="142">
        <f>現状_家畜飼養状況_採卵鶏_委託</f>
        <v>0</v>
      </c>
    </row>
    <row r="249" spans="1:4" ht="11.25">
      <c r="A249" s="255" t="s">
        <v>11</v>
      </c>
      <c r="B249" s="101"/>
      <c r="C249" s="101"/>
      <c r="D249" s="256">
        <f>現状_家畜飼養状況_ブロイラー_委託</f>
        <v>0</v>
      </c>
    </row>
  </sheetData>
  <sheetProtection/>
  <conditionalFormatting sqref="D2">
    <cfRule type="expression" priority="3" dxfId="0" stopIfTrue="1">
      <formula>MOD(ROW(),2)=0</formula>
    </cfRule>
    <cfRule type="expression" priority="4" dxfId="3" stopIfTrue="1">
      <formula>$E2&gt;0</formula>
    </cfRule>
  </conditionalFormatting>
  <conditionalFormatting sqref="D3:D249">
    <cfRule type="expression" priority="1" dxfId="0" stopIfTrue="1">
      <formula>MOD(ROW(),2)=0</formula>
    </cfRule>
  </conditionalFormatting>
  <conditionalFormatting sqref="B2:C249 A2:A248">
    <cfRule type="expression" priority="8" dxfId="1" stopIfTrue="1">
      <formula>MOD(ROW(),2)=0</formula>
    </cfRule>
  </conditionalFormatting>
  <dataValidations count="1">
    <dataValidation type="whole" operator="greaterThanOrEqual" showInputMessage="1" showErrorMessage="1" sqref="D1">
      <formula1>0</formula1>
    </dataValidation>
  </dataValidations>
  <printOptions/>
  <pageMargins left="0.75" right="0.75" top="1" bottom="1" header="0.512" footer="0.512"/>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codeName="shtEntry"/>
  <dimension ref="A1:AG103"/>
  <sheetViews>
    <sheetView tabSelected="1" zoomScale="75" zoomScaleNormal="75" zoomScalePageLayoutView="0" workbookViewId="0" topLeftCell="A1">
      <pane ySplit="2" topLeftCell="BM3" activePane="bottomLeft" state="frozen"/>
      <selection pane="topLeft" activeCell="A1" sqref="A1"/>
      <selection pane="bottomLeft" activeCell="C4" sqref="C4:L4"/>
    </sheetView>
  </sheetViews>
  <sheetFormatPr defaultColWidth="9.00390625" defaultRowHeight="13.5"/>
  <cols>
    <col min="1" max="24" width="5.625" style="0" customWidth="1"/>
    <col min="25" max="25" width="135.125" style="200" bestFit="1" customWidth="1"/>
    <col min="26" max="32" width="9.00390625" style="194" customWidth="1"/>
    <col min="33" max="33" width="9.00390625" style="195" customWidth="1"/>
  </cols>
  <sheetData>
    <row r="1" spans="1:24" ht="25.5" customHeight="1">
      <c r="A1" s="540" t="s">
        <v>1230</v>
      </c>
      <c r="B1" s="540"/>
      <c r="C1" s="540"/>
      <c r="D1" s="540"/>
      <c r="E1" s="540"/>
      <c r="F1" s="540"/>
      <c r="G1" s="540"/>
      <c r="H1" s="540"/>
      <c r="I1" s="540"/>
      <c r="J1" s="540"/>
      <c r="K1" s="540"/>
      <c r="L1" s="540"/>
      <c r="M1" s="540"/>
      <c r="N1" s="540"/>
      <c r="O1" s="540"/>
      <c r="P1" s="540"/>
      <c r="Q1" s="540"/>
      <c r="R1" s="540"/>
      <c r="S1" s="540"/>
      <c r="T1" s="540"/>
      <c r="U1" s="540"/>
      <c r="V1" s="540"/>
      <c r="W1" s="540"/>
      <c r="X1" s="540"/>
    </row>
    <row r="2" spans="1:24" ht="150" customHeight="1">
      <c r="A2" s="540"/>
      <c r="B2" s="540"/>
      <c r="C2" s="540"/>
      <c r="D2" s="540"/>
      <c r="E2" s="540"/>
      <c r="F2" s="540"/>
      <c r="G2" s="540"/>
      <c r="H2" s="540"/>
      <c r="I2" s="540"/>
      <c r="J2" s="540"/>
      <c r="K2" s="540"/>
      <c r="L2" s="540"/>
      <c r="M2" s="540"/>
      <c r="N2" s="540"/>
      <c r="O2" s="540"/>
      <c r="P2" s="540"/>
      <c r="Q2" s="540"/>
      <c r="R2" s="540"/>
      <c r="S2" s="540"/>
      <c r="T2" s="540"/>
      <c r="U2" s="540"/>
      <c r="V2" s="540"/>
      <c r="W2" s="540"/>
      <c r="X2" s="540"/>
    </row>
    <row r="3" spans="1:24" ht="17.25" customHeight="1">
      <c r="A3" s="541" t="s">
        <v>349</v>
      </c>
      <c r="B3" s="541"/>
      <c r="C3" s="541"/>
      <c r="D3" s="541"/>
      <c r="E3" s="541"/>
      <c r="F3" s="541"/>
      <c r="G3" s="541"/>
      <c r="H3" s="541"/>
      <c r="I3" s="541"/>
      <c r="J3" s="541"/>
      <c r="K3" s="541"/>
      <c r="L3" s="541"/>
      <c r="M3" s="541"/>
      <c r="N3" s="541"/>
      <c r="O3" s="541"/>
      <c r="P3" s="541"/>
      <c r="Q3" s="541"/>
      <c r="R3" s="541"/>
      <c r="S3" s="541"/>
      <c r="T3" s="541"/>
      <c r="U3" s="541"/>
      <c r="V3" s="541"/>
      <c r="W3" s="541"/>
      <c r="X3" s="541"/>
    </row>
    <row r="4" spans="1:25" ht="24" customHeight="1">
      <c r="A4" s="354" t="s">
        <v>507</v>
      </c>
      <c r="B4" s="355"/>
      <c r="C4" s="365" t="s">
        <v>375</v>
      </c>
      <c r="D4" s="366"/>
      <c r="E4" s="366"/>
      <c r="F4" s="366"/>
      <c r="G4" s="366"/>
      <c r="H4" s="366"/>
      <c r="I4" s="366"/>
      <c r="J4" s="366"/>
      <c r="K4" s="366"/>
      <c r="L4" s="367"/>
      <c r="M4" s="146"/>
      <c r="N4" s="147"/>
      <c r="O4" s="147"/>
      <c r="P4" s="147"/>
      <c r="Q4" s="147"/>
      <c r="R4" s="147"/>
      <c r="S4" s="147"/>
      <c r="T4" s="147"/>
      <c r="U4" s="147"/>
      <c r="V4" s="147"/>
      <c r="W4" s="147"/>
      <c r="X4" s="148"/>
      <c r="Y4" s="200" t="s">
        <v>106</v>
      </c>
    </row>
    <row r="5" spans="1:25" ht="20.25" customHeight="1">
      <c r="A5" s="358" t="s">
        <v>644</v>
      </c>
      <c r="B5" s="359"/>
      <c r="C5" s="362"/>
      <c r="D5" s="363"/>
      <c r="E5" s="363"/>
      <c r="F5" s="363"/>
      <c r="G5" s="363"/>
      <c r="H5" s="363"/>
      <c r="I5" s="363"/>
      <c r="J5" s="364"/>
      <c r="K5" s="358" t="s">
        <v>645</v>
      </c>
      <c r="L5" s="359"/>
      <c r="M5" s="462"/>
      <c r="N5" s="463"/>
      <c r="O5" s="463"/>
      <c r="P5" s="463"/>
      <c r="Q5" s="464"/>
      <c r="R5" s="528" t="s">
        <v>352</v>
      </c>
      <c r="S5" s="529"/>
      <c r="T5" s="368"/>
      <c r="U5" s="368"/>
      <c r="V5" s="368"/>
      <c r="W5" s="368"/>
      <c r="X5" s="369"/>
      <c r="Y5" s="200" t="s">
        <v>198</v>
      </c>
    </row>
    <row r="6" spans="1:25" ht="24" customHeight="1">
      <c r="A6" s="360"/>
      <c r="B6" s="361"/>
      <c r="C6" s="390"/>
      <c r="D6" s="390"/>
      <c r="E6" s="390"/>
      <c r="F6" s="390"/>
      <c r="G6" s="390"/>
      <c r="H6" s="390"/>
      <c r="I6" s="390"/>
      <c r="J6" s="391"/>
      <c r="K6" s="360"/>
      <c r="L6" s="361"/>
      <c r="M6" s="390"/>
      <c r="N6" s="390"/>
      <c r="O6" s="390"/>
      <c r="P6" s="390"/>
      <c r="Q6" s="391"/>
      <c r="R6" s="530"/>
      <c r="S6" s="531"/>
      <c r="T6" s="370"/>
      <c r="U6" s="370"/>
      <c r="V6" s="370"/>
      <c r="W6" s="370"/>
      <c r="X6" s="371"/>
      <c r="Y6" s="200" t="s">
        <v>199</v>
      </c>
    </row>
    <row r="7" spans="1:25" ht="24" customHeight="1">
      <c r="A7" s="354" t="s">
        <v>353</v>
      </c>
      <c r="B7" s="355"/>
      <c r="C7" s="534"/>
      <c r="D7" s="535"/>
      <c r="E7" s="535"/>
      <c r="F7" s="535"/>
      <c r="G7" s="542"/>
      <c r="H7" s="354" t="s">
        <v>351</v>
      </c>
      <c r="I7" s="355"/>
      <c r="J7" s="534"/>
      <c r="K7" s="535"/>
      <c r="L7" s="536"/>
      <c r="M7" s="537"/>
      <c r="N7" s="538"/>
      <c r="O7" s="538"/>
      <c r="P7" s="538"/>
      <c r="Q7" s="538"/>
      <c r="R7" s="538"/>
      <c r="S7" s="538"/>
      <c r="T7" s="538"/>
      <c r="U7" s="538"/>
      <c r="V7" s="538"/>
      <c r="W7" s="538"/>
      <c r="X7" s="539"/>
      <c r="Y7" s="200" t="s">
        <v>107</v>
      </c>
    </row>
    <row r="8" spans="1:33" s="19" customFormat="1" ht="20.25" customHeight="1">
      <c r="A8" s="356" t="s">
        <v>510</v>
      </c>
      <c r="B8" s="356"/>
      <c r="C8" s="356"/>
      <c r="D8" s="356"/>
      <c r="E8" s="356"/>
      <c r="F8" s="356"/>
      <c r="G8" s="356"/>
      <c r="H8" s="356"/>
      <c r="I8" s="356"/>
      <c r="J8" s="356"/>
      <c r="K8" s="356"/>
      <c r="L8" s="356"/>
      <c r="M8" s="356"/>
      <c r="N8" s="356"/>
      <c r="O8" s="356"/>
      <c r="P8" s="356"/>
      <c r="Q8" s="356"/>
      <c r="R8" s="356"/>
      <c r="S8" s="356"/>
      <c r="T8" s="356"/>
      <c r="U8" s="356"/>
      <c r="V8" s="356"/>
      <c r="W8" s="356"/>
      <c r="X8" s="356"/>
      <c r="Y8" s="201"/>
      <c r="Z8" s="196"/>
      <c r="AA8" s="196"/>
      <c r="AB8" s="196"/>
      <c r="AC8" s="196"/>
      <c r="AD8" s="196"/>
      <c r="AE8" s="196"/>
      <c r="AF8" s="196"/>
      <c r="AG8" s="197"/>
    </row>
    <row r="9" spans="1:33" s="19" customFormat="1" ht="20.25" customHeight="1">
      <c r="A9" s="357" t="s">
        <v>643</v>
      </c>
      <c r="B9" s="357"/>
      <c r="C9" s="357"/>
      <c r="D9" s="357"/>
      <c r="E9" s="357"/>
      <c r="F9" s="357"/>
      <c r="G9" s="357"/>
      <c r="H9" s="357"/>
      <c r="I9" s="357"/>
      <c r="J9" s="357"/>
      <c r="K9" s="357"/>
      <c r="L9" s="357"/>
      <c r="M9" s="357"/>
      <c r="N9" s="357"/>
      <c r="O9" s="357"/>
      <c r="P9" s="357"/>
      <c r="Q9" s="357"/>
      <c r="R9" s="357"/>
      <c r="S9" s="357"/>
      <c r="T9" s="357"/>
      <c r="U9" s="357"/>
      <c r="V9" s="357"/>
      <c r="W9" s="357"/>
      <c r="X9" s="357"/>
      <c r="Y9" s="201"/>
      <c r="Z9" s="196"/>
      <c r="AA9" s="196"/>
      <c r="AB9" s="196"/>
      <c r="AC9" s="196"/>
      <c r="AD9" s="196"/>
      <c r="AE9" s="196"/>
      <c r="AF9" s="196"/>
      <c r="AG9" s="197"/>
    </row>
    <row r="10" spans="1:33" s="19" customFormat="1" ht="20.25" customHeight="1">
      <c r="A10" s="357" t="s">
        <v>380</v>
      </c>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202"/>
      <c r="Z10" s="196"/>
      <c r="AA10" s="196"/>
      <c r="AB10" s="196"/>
      <c r="AC10" s="196"/>
      <c r="AD10" s="196"/>
      <c r="AE10" s="196"/>
      <c r="AF10" s="196"/>
      <c r="AG10" s="197"/>
    </row>
    <row r="11" spans="1:25" ht="41.25" customHeight="1">
      <c r="A11" s="440" t="s">
        <v>431</v>
      </c>
      <c r="B11" s="440"/>
      <c r="C11" s="440"/>
      <c r="D11" s="440"/>
      <c r="E11" s="525" t="s">
        <v>382</v>
      </c>
      <c r="F11" s="525"/>
      <c r="G11" s="525"/>
      <c r="H11" s="525"/>
      <c r="I11" s="525"/>
      <c r="J11" s="525"/>
      <c r="K11" s="525"/>
      <c r="L11" s="525"/>
      <c r="M11" s="525"/>
      <c r="N11" s="525"/>
      <c r="O11" s="525"/>
      <c r="P11" s="525"/>
      <c r="Q11" s="525"/>
      <c r="R11" s="525"/>
      <c r="S11" s="525"/>
      <c r="T11" s="525"/>
      <c r="U11" s="525"/>
      <c r="V11" s="525"/>
      <c r="W11" s="525"/>
      <c r="X11" s="525"/>
      <c r="Y11" s="193" t="s">
        <v>200</v>
      </c>
    </row>
    <row r="12" spans="1:25" ht="16.5" customHeight="1">
      <c r="A12" s="526" t="s">
        <v>354</v>
      </c>
      <c r="B12" s="372" t="s">
        <v>355</v>
      </c>
      <c r="C12" s="373"/>
      <c r="D12" s="374"/>
      <c r="E12" s="457" t="s">
        <v>356</v>
      </c>
      <c r="F12" s="458"/>
      <c r="G12" s="388">
        <v>0</v>
      </c>
      <c r="H12" s="389"/>
      <c r="I12" s="207" t="s">
        <v>357</v>
      </c>
      <c r="J12" s="457" t="s">
        <v>358</v>
      </c>
      <c r="K12" s="458"/>
      <c r="L12" s="388">
        <v>0</v>
      </c>
      <c r="M12" s="389"/>
      <c r="N12" s="208" t="s">
        <v>357</v>
      </c>
      <c r="O12" s="635"/>
      <c r="P12" s="636"/>
      <c r="Q12" s="637"/>
      <c r="R12" s="637"/>
      <c r="S12" s="638"/>
      <c r="T12" s="645" t="s">
        <v>360</v>
      </c>
      <c r="U12" s="458"/>
      <c r="V12" s="642">
        <f>現状_家畜飼養状況_肉牛+現状_家畜飼養状況_乳牛+現状_家畜飼養状況_肉豚</f>
        <v>0</v>
      </c>
      <c r="W12" s="643"/>
      <c r="X12" s="208" t="s">
        <v>357</v>
      </c>
      <c r="Y12" s="200" t="s">
        <v>201</v>
      </c>
    </row>
    <row r="13" spans="1:25" ht="16.5" customHeight="1">
      <c r="A13" s="526"/>
      <c r="B13" s="375"/>
      <c r="C13" s="376"/>
      <c r="D13" s="377"/>
      <c r="E13" s="384" t="s">
        <v>159</v>
      </c>
      <c r="F13" s="385"/>
      <c r="G13" s="386">
        <v>0</v>
      </c>
      <c r="H13" s="387"/>
      <c r="I13" s="213" t="s">
        <v>357</v>
      </c>
      <c r="J13" s="384" t="s">
        <v>160</v>
      </c>
      <c r="K13" s="385"/>
      <c r="L13" s="386">
        <v>0</v>
      </c>
      <c r="M13" s="387"/>
      <c r="N13" s="214" t="s">
        <v>357</v>
      </c>
      <c r="O13" s="639"/>
      <c r="P13" s="640"/>
      <c r="Q13" s="640"/>
      <c r="R13" s="640"/>
      <c r="S13" s="641"/>
      <c r="T13" s="439" t="s">
        <v>164</v>
      </c>
      <c r="U13" s="385"/>
      <c r="V13" s="631">
        <f>L13+G13+G15</f>
        <v>0</v>
      </c>
      <c r="W13" s="632"/>
      <c r="X13" s="214" t="s">
        <v>357</v>
      </c>
      <c r="Y13" s="200" t="s">
        <v>202</v>
      </c>
    </row>
    <row r="14" spans="1:25" ht="16.5" customHeight="1">
      <c r="A14" s="526"/>
      <c r="B14" s="378"/>
      <c r="C14" s="379"/>
      <c r="D14" s="380"/>
      <c r="E14" s="627" t="s">
        <v>1217</v>
      </c>
      <c r="F14" s="628"/>
      <c r="G14" s="455">
        <v>0</v>
      </c>
      <c r="H14" s="456"/>
      <c r="I14" s="211" t="s">
        <v>357</v>
      </c>
      <c r="J14" s="627" t="s">
        <v>1218</v>
      </c>
      <c r="K14" s="628"/>
      <c r="L14" s="455">
        <v>0</v>
      </c>
      <c r="M14" s="456"/>
      <c r="N14" s="212" t="s">
        <v>34</v>
      </c>
      <c r="O14" s="469" t="s">
        <v>1219</v>
      </c>
      <c r="P14" s="470"/>
      <c r="Q14" s="455">
        <v>0</v>
      </c>
      <c r="R14" s="456"/>
      <c r="S14" s="212" t="s">
        <v>34</v>
      </c>
      <c r="T14" s="644" t="s">
        <v>360</v>
      </c>
      <c r="U14" s="628"/>
      <c r="V14" s="543">
        <f>Q14+L14</f>
        <v>0</v>
      </c>
      <c r="W14" s="543"/>
      <c r="X14" s="212" t="s">
        <v>34</v>
      </c>
      <c r="Y14" s="200" t="s">
        <v>203</v>
      </c>
    </row>
    <row r="15" spans="1:25" ht="16.5" customHeight="1">
      <c r="A15" s="526"/>
      <c r="B15" s="381"/>
      <c r="C15" s="382"/>
      <c r="D15" s="383"/>
      <c r="E15" s="629" t="s">
        <v>161</v>
      </c>
      <c r="F15" s="630"/>
      <c r="G15" s="392">
        <v>0</v>
      </c>
      <c r="H15" s="393"/>
      <c r="I15" s="209" t="s">
        <v>357</v>
      </c>
      <c r="J15" s="629" t="s">
        <v>162</v>
      </c>
      <c r="K15" s="630"/>
      <c r="L15" s="392">
        <v>0</v>
      </c>
      <c r="M15" s="393"/>
      <c r="N15" s="210" t="s">
        <v>34</v>
      </c>
      <c r="O15" s="629" t="s">
        <v>163</v>
      </c>
      <c r="P15" s="630"/>
      <c r="Q15" s="392">
        <v>0</v>
      </c>
      <c r="R15" s="393"/>
      <c r="S15" s="210" t="s">
        <v>34</v>
      </c>
      <c r="T15" s="633" t="s">
        <v>164</v>
      </c>
      <c r="U15" s="630"/>
      <c r="V15" s="634">
        <f>Q15+L15</f>
        <v>0</v>
      </c>
      <c r="W15" s="634"/>
      <c r="X15" s="210" t="s">
        <v>34</v>
      </c>
      <c r="Y15" s="200" t="s">
        <v>204</v>
      </c>
    </row>
    <row r="16" spans="1:25" ht="16.5" customHeight="1">
      <c r="A16" s="526"/>
      <c r="B16" s="372" t="s">
        <v>359</v>
      </c>
      <c r="C16" s="373"/>
      <c r="D16" s="374"/>
      <c r="E16" s="473" t="s">
        <v>361</v>
      </c>
      <c r="F16" s="474"/>
      <c r="G16" s="388">
        <v>0</v>
      </c>
      <c r="H16" s="389"/>
      <c r="I16" s="215" t="s">
        <v>364</v>
      </c>
      <c r="J16" s="473" t="s">
        <v>362</v>
      </c>
      <c r="K16" s="474"/>
      <c r="L16" s="388">
        <v>0</v>
      </c>
      <c r="M16" s="389"/>
      <c r="N16" s="216" t="s">
        <v>364</v>
      </c>
      <c r="O16" s="473" t="s">
        <v>363</v>
      </c>
      <c r="P16" s="474"/>
      <c r="Q16" s="388">
        <v>0</v>
      </c>
      <c r="R16" s="389"/>
      <c r="S16" s="216" t="s">
        <v>364</v>
      </c>
      <c r="T16" s="532" t="s">
        <v>360</v>
      </c>
      <c r="U16" s="533"/>
      <c r="V16" s="471">
        <f>Q16+L16+G16</f>
        <v>0</v>
      </c>
      <c r="W16" s="472"/>
      <c r="X16" s="216" t="s">
        <v>364</v>
      </c>
      <c r="Y16" s="200" t="s">
        <v>205</v>
      </c>
    </row>
    <row r="17" spans="1:25" ht="16.5" customHeight="1">
      <c r="A17" s="527"/>
      <c r="B17" s="450" t="s">
        <v>1220</v>
      </c>
      <c r="C17" s="451"/>
      <c r="D17" s="452"/>
      <c r="E17" s="453" t="s">
        <v>1221</v>
      </c>
      <c r="F17" s="454"/>
      <c r="G17" s="392">
        <v>0</v>
      </c>
      <c r="H17" s="393"/>
      <c r="I17" s="213" t="s">
        <v>364</v>
      </c>
      <c r="J17" s="453" t="s">
        <v>1222</v>
      </c>
      <c r="K17" s="454"/>
      <c r="L17" s="392">
        <v>0</v>
      </c>
      <c r="M17" s="393"/>
      <c r="N17" s="214" t="s">
        <v>364</v>
      </c>
      <c r="O17" s="453" t="s">
        <v>1223</v>
      </c>
      <c r="P17" s="454"/>
      <c r="Q17" s="392">
        <v>0</v>
      </c>
      <c r="R17" s="393"/>
      <c r="S17" s="214" t="s">
        <v>364</v>
      </c>
      <c r="T17" s="475" t="s">
        <v>360</v>
      </c>
      <c r="U17" s="476"/>
      <c r="V17" s="545">
        <f>Q17+L17+G17</f>
        <v>0</v>
      </c>
      <c r="W17" s="546"/>
      <c r="X17" s="210" t="s">
        <v>364</v>
      </c>
      <c r="Y17" s="200" t="s">
        <v>108</v>
      </c>
    </row>
    <row r="18" spans="1:24" ht="41.25" customHeight="1">
      <c r="A18" s="440" t="s">
        <v>430</v>
      </c>
      <c r="B18" s="440"/>
      <c r="C18" s="440"/>
      <c r="D18" s="440"/>
      <c r="E18" s="441"/>
      <c r="F18" s="441"/>
      <c r="G18" s="441"/>
      <c r="H18" s="441"/>
      <c r="I18" s="441"/>
      <c r="J18" s="441"/>
      <c r="K18" s="441"/>
      <c r="L18" s="441"/>
      <c r="M18" s="441"/>
      <c r="N18" s="441"/>
      <c r="O18" s="441"/>
      <c r="P18" s="441"/>
      <c r="Q18" s="441"/>
      <c r="R18" s="441"/>
      <c r="S18" s="544"/>
      <c r="T18" s="544"/>
      <c r="U18" s="544"/>
      <c r="V18" s="544"/>
      <c r="W18" s="544"/>
      <c r="X18" s="544"/>
    </row>
    <row r="19" spans="1:24" ht="27.75" customHeight="1">
      <c r="A19" s="436" t="s">
        <v>37</v>
      </c>
      <c r="B19" s="437"/>
      <c r="C19" s="437"/>
      <c r="D19" s="438"/>
      <c r="E19" s="430" t="s">
        <v>376</v>
      </c>
      <c r="F19" s="431"/>
      <c r="G19" s="431"/>
      <c r="H19" s="431"/>
      <c r="I19" s="431"/>
      <c r="J19" s="431"/>
      <c r="K19" s="431"/>
      <c r="L19" s="431"/>
      <c r="M19" s="431"/>
      <c r="N19" s="431"/>
      <c r="O19" s="431"/>
      <c r="P19" s="431"/>
      <c r="Q19" s="431"/>
      <c r="R19" s="432"/>
      <c r="S19" s="436" t="s">
        <v>383</v>
      </c>
      <c r="T19" s="437"/>
      <c r="U19" s="437"/>
      <c r="V19" s="438"/>
      <c r="W19" s="918"/>
      <c r="X19" s="919"/>
    </row>
    <row r="20" spans="1:25" ht="41.25" customHeight="1">
      <c r="A20" s="440" t="s">
        <v>471</v>
      </c>
      <c r="B20" s="440"/>
      <c r="C20" s="440"/>
      <c r="D20" s="440"/>
      <c r="L20" s="189"/>
      <c r="Y20" s="203"/>
    </row>
    <row r="21" spans="1:25" ht="25.5" customHeight="1">
      <c r="A21" s="444" t="s">
        <v>472</v>
      </c>
      <c r="B21" s="445"/>
      <c r="C21" s="445"/>
      <c r="D21" s="445"/>
      <c r="E21" s="446">
        <v>5</v>
      </c>
      <c r="F21" s="447"/>
      <c r="G21" s="55" t="s">
        <v>473</v>
      </c>
      <c r="H21" s="56"/>
      <c r="I21" s="448" t="s">
        <v>474</v>
      </c>
      <c r="J21" s="449"/>
      <c r="K21" s="449"/>
      <c r="L21" s="442"/>
      <c r="M21" s="442"/>
      <c r="N21" s="442"/>
      <c r="O21" s="443"/>
      <c r="Y21" s="200" t="s">
        <v>109</v>
      </c>
    </row>
    <row r="22" spans="1:25" ht="41.25" customHeight="1">
      <c r="A22" s="440" t="s">
        <v>429</v>
      </c>
      <c r="B22" s="440"/>
      <c r="C22" s="440"/>
      <c r="D22" s="440"/>
      <c r="E22" s="525" t="s">
        <v>447</v>
      </c>
      <c r="F22" s="525"/>
      <c r="G22" s="525"/>
      <c r="H22" s="525"/>
      <c r="I22" s="525"/>
      <c r="J22" s="525"/>
      <c r="K22" s="525"/>
      <c r="L22" s="525"/>
      <c r="M22" s="525"/>
      <c r="N22" s="525"/>
      <c r="O22" s="525"/>
      <c r="P22" s="525"/>
      <c r="Q22" s="525"/>
      <c r="R22" s="525"/>
      <c r="S22" s="525"/>
      <c r="T22" s="525"/>
      <c r="U22" s="525"/>
      <c r="V22" s="525"/>
      <c r="W22" s="525"/>
      <c r="X22" s="525"/>
      <c r="Y22" s="292" t="s">
        <v>379</v>
      </c>
    </row>
    <row r="23" spans="1:25" ht="24" customHeight="1">
      <c r="A23" s="412" t="s">
        <v>384</v>
      </c>
      <c r="B23" s="413"/>
      <c r="C23" s="413"/>
      <c r="D23" s="414"/>
      <c r="E23" s="397">
        <f>IF(ISERROR(VLOOKUP(機械1_機械名,tbl機械区分,2,FALSE)),"",VLOOKUP(機械1_機械名,tbl機械区分,2,FALSE))</f>
      </c>
      <c r="F23" s="397"/>
      <c r="G23" s="397"/>
      <c r="H23" s="397"/>
      <c r="I23" s="397"/>
      <c r="J23" s="397">
        <f>IF(ISERROR(VLOOKUP(機械2_機械名,tbl機械区分,2,FALSE)),"",VLOOKUP(機械2_機械名,tbl機械区分,2,FALSE))</f>
      </c>
      <c r="K23" s="397"/>
      <c r="L23" s="397"/>
      <c r="M23" s="397"/>
      <c r="N23" s="397"/>
      <c r="O23" s="397">
        <f>IF(ISERROR(VLOOKUP(機械3_機械名,tbl機械区分,2,FALSE)),"",VLOOKUP(機械3_機械名,tbl機械区分,2,FALSE))</f>
      </c>
      <c r="P23" s="397"/>
      <c r="Q23" s="397"/>
      <c r="R23" s="397"/>
      <c r="S23" s="397"/>
      <c r="T23" s="397">
        <f>IF(ISERROR(VLOOKUP(機械4_機械名,tbl機械区分,2,FALSE)),"",VLOOKUP(機械4_機械名,tbl機械区分,2,FALSE))</f>
      </c>
      <c r="U23" s="397"/>
      <c r="V23" s="397"/>
      <c r="W23" s="397"/>
      <c r="X23" s="397"/>
      <c r="Y23" s="193" t="s">
        <v>152</v>
      </c>
    </row>
    <row r="24" spans="1:25" ht="24" customHeight="1">
      <c r="A24" s="419" t="s">
        <v>426</v>
      </c>
      <c r="B24" s="420"/>
      <c r="C24" s="420"/>
      <c r="D24" s="421"/>
      <c r="E24" s="418"/>
      <c r="F24" s="418"/>
      <c r="G24" s="418"/>
      <c r="H24" s="418"/>
      <c r="I24" s="418"/>
      <c r="J24" s="418"/>
      <c r="K24" s="418"/>
      <c r="L24" s="418"/>
      <c r="M24" s="418"/>
      <c r="N24" s="418"/>
      <c r="O24" s="418"/>
      <c r="P24" s="418"/>
      <c r="Q24" s="418"/>
      <c r="R24" s="418"/>
      <c r="S24" s="418"/>
      <c r="T24" s="418"/>
      <c r="U24" s="418"/>
      <c r="V24" s="418"/>
      <c r="W24" s="418"/>
      <c r="X24" s="418"/>
      <c r="Y24" s="200" t="s">
        <v>112</v>
      </c>
    </row>
    <row r="25" spans="1:25" ht="24" customHeight="1">
      <c r="A25" s="419" t="s">
        <v>427</v>
      </c>
      <c r="B25" s="420"/>
      <c r="C25" s="420"/>
      <c r="D25" s="421"/>
      <c r="E25" s="418"/>
      <c r="F25" s="418"/>
      <c r="G25" s="418"/>
      <c r="H25" s="418"/>
      <c r="I25" s="418"/>
      <c r="J25" s="418"/>
      <c r="K25" s="418"/>
      <c r="L25" s="418"/>
      <c r="M25" s="418"/>
      <c r="N25" s="418"/>
      <c r="O25" s="418"/>
      <c r="P25" s="418"/>
      <c r="Q25" s="418"/>
      <c r="R25" s="418"/>
      <c r="S25" s="418"/>
      <c r="T25" s="418"/>
      <c r="U25" s="418"/>
      <c r="V25" s="418"/>
      <c r="W25" s="418"/>
      <c r="X25" s="418"/>
      <c r="Y25" s="200" t="s">
        <v>110</v>
      </c>
    </row>
    <row r="26" spans="1:25" ht="24" customHeight="1">
      <c r="A26" s="415" t="s">
        <v>428</v>
      </c>
      <c r="B26" s="416"/>
      <c r="C26" s="416"/>
      <c r="D26" s="417"/>
      <c r="E26" s="422"/>
      <c r="F26" s="422"/>
      <c r="G26" s="422"/>
      <c r="H26" s="422"/>
      <c r="I26" s="422"/>
      <c r="J26" s="422"/>
      <c r="K26" s="422"/>
      <c r="L26" s="422"/>
      <c r="M26" s="422"/>
      <c r="N26" s="422"/>
      <c r="O26" s="422"/>
      <c r="P26" s="422"/>
      <c r="Q26" s="422"/>
      <c r="R26" s="422"/>
      <c r="S26" s="422"/>
      <c r="T26" s="422"/>
      <c r="U26" s="422"/>
      <c r="V26" s="422"/>
      <c r="W26" s="422"/>
      <c r="X26" s="422"/>
      <c r="Y26" s="200" t="s">
        <v>111</v>
      </c>
    </row>
    <row r="27" spans="1:25" ht="24" customHeight="1">
      <c r="A27" s="412" t="s">
        <v>425</v>
      </c>
      <c r="B27" s="413"/>
      <c r="C27" s="413"/>
      <c r="D27" s="414"/>
      <c r="E27" s="398">
        <v>0</v>
      </c>
      <c r="F27" s="398"/>
      <c r="G27" s="398"/>
      <c r="H27" s="398"/>
      <c r="I27" s="398"/>
      <c r="J27" s="398">
        <v>0</v>
      </c>
      <c r="K27" s="398"/>
      <c r="L27" s="398"/>
      <c r="M27" s="398"/>
      <c r="N27" s="398"/>
      <c r="O27" s="398">
        <v>0</v>
      </c>
      <c r="P27" s="398"/>
      <c r="Q27" s="398"/>
      <c r="R27" s="398"/>
      <c r="S27" s="398"/>
      <c r="T27" s="398">
        <v>0</v>
      </c>
      <c r="U27" s="398"/>
      <c r="V27" s="398"/>
      <c r="W27" s="398"/>
      <c r="X27" s="398"/>
      <c r="Y27" s="200" t="s">
        <v>113</v>
      </c>
    </row>
    <row r="28" spans="1:25" ht="24" customHeight="1">
      <c r="A28" s="419" t="s">
        <v>385</v>
      </c>
      <c r="B28" s="420"/>
      <c r="C28" s="420"/>
      <c r="D28" s="421"/>
      <c r="E28" s="398"/>
      <c r="F28" s="398"/>
      <c r="G28" s="398"/>
      <c r="H28" s="398"/>
      <c r="I28" s="398"/>
      <c r="J28" s="398">
        <v>0</v>
      </c>
      <c r="K28" s="398"/>
      <c r="L28" s="398"/>
      <c r="M28" s="398"/>
      <c r="N28" s="398"/>
      <c r="O28" s="398">
        <v>0</v>
      </c>
      <c r="P28" s="398"/>
      <c r="Q28" s="398"/>
      <c r="R28" s="398"/>
      <c r="S28" s="398"/>
      <c r="T28" s="398">
        <v>0</v>
      </c>
      <c r="U28" s="398"/>
      <c r="V28" s="398"/>
      <c r="W28" s="398"/>
      <c r="X28" s="398"/>
      <c r="Y28" s="200" t="s">
        <v>287</v>
      </c>
    </row>
    <row r="29" spans="1:25" ht="24" customHeight="1">
      <c r="A29" s="419" t="s">
        <v>432</v>
      </c>
      <c r="B29" s="420"/>
      <c r="C29" s="420"/>
      <c r="D29" s="421"/>
      <c r="E29" s="423">
        <f>IF(E28="",0,ROUNDDOWN(E28/3,-3))</f>
        <v>0</v>
      </c>
      <c r="F29" s="423"/>
      <c r="G29" s="423"/>
      <c r="H29" s="423"/>
      <c r="I29" s="423"/>
      <c r="J29" s="423">
        <f>IF(J28="",0,ROUNDDOWN(J28/3,-3))</f>
        <v>0</v>
      </c>
      <c r="K29" s="423"/>
      <c r="L29" s="423"/>
      <c r="M29" s="423"/>
      <c r="N29" s="423"/>
      <c r="O29" s="423">
        <f>IF(O28="",0,ROUNDDOWN(O28/3,-3))</f>
        <v>0</v>
      </c>
      <c r="P29" s="423"/>
      <c r="Q29" s="423"/>
      <c r="R29" s="423"/>
      <c r="S29" s="423"/>
      <c r="T29" s="423">
        <f>IF(T28="",0,ROUNDDOWN(T28/3,-3))</f>
        <v>0</v>
      </c>
      <c r="U29" s="423"/>
      <c r="V29" s="423"/>
      <c r="W29" s="423"/>
      <c r="X29" s="423"/>
      <c r="Y29" s="200" t="s">
        <v>206</v>
      </c>
    </row>
    <row r="30" spans="1:25" ht="24" customHeight="1">
      <c r="A30" s="415" t="s">
        <v>434</v>
      </c>
      <c r="B30" s="416"/>
      <c r="C30" s="416"/>
      <c r="D30" s="417"/>
      <c r="E30" s="424">
        <f>IF(E28="",0,E28-E29)</f>
        <v>0</v>
      </c>
      <c r="F30" s="424"/>
      <c r="G30" s="424"/>
      <c r="H30" s="424"/>
      <c r="I30" s="424"/>
      <c r="J30" s="424">
        <f>IF(J28="",0,J28-J29)</f>
        <v>0</v>
      </c>
      <c r="K30" s="424"/>
      <c r="L30" s="424"/>
      <c r="M30" s="424"/>
      <c r="N30" s="424"/>
      <c r="O30" s="424">
        <f>IF(O28="",0,O28-O29)</f>
        <v>0</v>
      </c>
      <c r="P30" s="424"/>
      <c r="Q30" s="424"/>
      <c r="R30" s="424"/>
      <c r="S30" s="424"/>
      <c r="T30" s="424">
        <f>IF(T28="",0,T28-T29)</f>
        <v>0</v>
      </c>
      <c r="U30" s="424"/>
      <c r="V30" s="424"/>
      <c r="W30" s="424"/>
      <c r="X30" s="424"/>
      <c r="Y30" s="200" t="s">
        <v>207</v>
      </c>
    </row>
    <row r="31" spans="1:25" ht="24" customHeight="1">
      <c r="A31" s="624" t="s">
        <v>508</v>
      </c>
      <c r="B31" s="413" t="s">
        <v>435</v>
      </c>
      <c r="C31" s="413"/>
      <c r="D31" s="414"/>
      <c r="E31" s="433"/>
      <c r="F31" s="434"/>
      <c r="G31" s="434"/>
      <c r="H31" s="434"/>
      <c r="I31" s="435"/>
      <c r="J31" s="425"/>
      <c r="K31" s="425"/>
      <c r="L31" s="425"/>
      <c r="M31" s="425"/>
      <c r="N31" s="425"/>
      <c r="O31" s="425"/>
      <c r="P31" s="425"/>
      <c r="Q31" s="425"/>
      <c r="R31" s="425"/>
      <c r="S31" s="425"/>
      <c r="T31" s="425"/>
      <c r="U31" s="425"/>
      <c r="V31" s="425"/>
      <c r="W31" s="425"/>
      <c r="X31" s="425"/>
      <c r="Y31" s="200" t="s">
        <v>114</v>
      </c>
    </row>
    <row r="32" spans="1:25" ht="36" customHeight="1">
      <c r="A32" s="520"/>
      <c r="B32" s="420" t="s">
        <v>436</v>
      </c>
      <c r="C32" s="420"/>
      <c r="D32" s="421"/>
      <c r="E32" s="426"/>
      <c r="F32" s="426"/>
      <c r="G32" s="426"/>
      <c r="H32" s="426"/>
      <c r="I32" s="426"/>
      <c r="J32" s="426"/>
      <c r="K32" s="426"/>
      <c r="L32" s="426"/>
      <c r="M32" s="426"/>
      <c r="N32" s="426"/>
      <c r="O32" s="426"/>
      <c r="P32" s="426"/>
      <c r="Q32" s="426"/>
      <c r="R32" s="426"/>
      <c r="S32" s="426"/>
      <c r="T32" s="426"/>
      <c r="U32" s="426"/>
      <c r="V32" s="426"/>
      <c r="W32" s="426"/>
      <c r="X32" s="426"/>
      <c r="Y32" s="200" t="s">
        <v>115</v>
      </c>
    </row>
    <row r="33" spans="1:25" ht="24" customHeight="1">
      <c r="A33" s="521"/>
      <c r="B33" s="416" t="s">
        <v>352</v>
      </c>
      <c r="C33" s="416"/>
      <c r="D33" s="417"/>
      <c r="E33" s="400"/>
      <c r="F33" s="400"/>
      <c r="G33" s="400"/>
      <c r="H33" s="400"/>
      <c r="I33" s="400"/>
      <c r="J33" s="400"/>
      <c r="K33" s="400"/>
      <c r="L33" s="400"/>
      <c r="M33" s="400"/>
      <c r="N33" s="400"/>
      <c r="O33" s="400"/>
      <c r="P33" s="400"/>
      <c r="Q33" s="400"/>
      <c r="R33" s="400"/>
      <c r="S33" s="400"/>
      <c r="T33" s="400"/>
      <c r="U33" s="400"/>
      <c r="V33" s="400"/>
      <c r="W33" s="400"/>
      <c r="X33" s="400"/>
      <c r="Y33" s="200" t="s">
        <v>116</v>
      </c>
    </row>
    <row r="34" spans="1:25" ht="36" customHeight="1">
      <c r="A34" s="427" t="s">
        <v>452</v>
      </c>
      <c r="B34" s="428"/>
      <c r="C34" s="428"/>
      <c r="D34" s="429"/>
      <c r="E34" s="399"/>
      <c r="F34" s="399"/>
      <c r="G34" s="399"/>
      <c r="H34" s="399"/>
      <c r="I34" s="399"/>
      <c r="J34" s="399"/>
      <c r="K34" s="399"/>
      <c r="L34" s="399"/>
      <c r="M34" s="399"/>
      <c r="N34" s="399"/>
      <c r="O34" s="399"/>
      <c r="P34" s="399"/>
      <c r="Q34" s="399"/>
      <c r="R34" s="399"/>
      <c r="S34" s="399"/>
      <c r="T34" s="399"/>
      <c r="U34" s="399"/>
      <c r="V34" s="399"/>
      <c r="W34" s="399"/>
      <c r="X34" s="399"/>
      <c r="Y34" s="200" t="s">
        <v>453</v>
      </c>
    </row>
    <row r="35" spans="1:25" ht="27.75" customHeight="1">
      <c r="A35" s="547" t="s">
        <v>1129</v>
      </c>
      <c r="B35" s="625"/>
      <c r="C35" s="625"/>
      <c r="D35" s="626"/>
      <c r="E35" s="401">
        <v>0</v>
      </c>
      <c r="F35" s="401"/>
      <c r="G35" s="401"/>
      <c r="H35" s="401"/>
      <c r="I35" s="401"/>
      <c r="J35" s="401">
        <v>0</v>
      </c>
      <c r="K35" s="401"/>
      <c r="L35" s="401"/>
      <c r="M35" s="401"/>
      <c r="N35" s="401"/>
      <c r="O35" s="401">
        <v>0</v>
      </c>
      <c r="P35" s="401"/>
      <c r="Q35" s="401"/>
      <c r="R35" s="401"/>
      <c r="S35" s="401"/>
      <c r="T35" s="401">
        <v>0</v>
      </c>
      <c r="U35" s="401"/>
      <c r="V35" s="401"/>
      <c r="W35" s="401"/>
      <c r="X35" s="401"/>
      <c r="Y35" s="200" t="s">
        <v>117</v>
      </c>
    </row>
    <row r="36" spans="1:25" ht="90.75" customHeight="1">
      <c r="A36" s="520" t="s">
        <v>1238</v>
      </c>
      <c r="B36" s="522" t="s">
        <v>138</v>
      </c>
      <c r="C36" s="523"/>
      <c r="D36" s="524"/>
      <c r="E36" s="409"/>
      <c r="F36" s="409"/>
      <c r="G36" s="409"/>
      <c r="H36" s="409"/>
      <c r="I36" s="409"/>
      <c r="J36" s="409"/>
      <c r="K36" s="409"/>
      <c r="L36" s="409"/>
      <c r="M36" s="409"/>
      <c r="N36" s="409"/>
      <c r="O36" s="409"/>
      <c r="P36" s="409"/>
      <c r="Q36" s="409"/>
      <c r="R36" s="409"/>
      <c r="S36" s="409"/>
      <c r="T36" s="409"/>
      <c r="U36" s="409"/>
      <c r="V36" s="409"/>
      <c r="W36" s="409"/>
      <c r="X36" s="409"/>
      <c r="Y36" s="200" t="s">
        <v>118</v>
      </c>
    </row>
    <row r="37" spans="1:25" ht="36" customHeight="1">
      <c r="A37" s="520"/>
      <c r="B37" s="514" t="s">
        <v>165</v>
      </c>
      <c r="C37" s="515"/>
      <c r="D37" s="516"/>
      <c r="E37" s="408"/>
      <c r="F37" s="408"/>
      <c r="G37" s="408"/>
      <c r="H37" s="408"/>
      <c r="I37" s="408"/>
      <c r="J37" s="408"/>
      <c r="K37" s="408"/>
      <c r="L37" s="408"/>
      <c r="M37" s="408"/>
      <c r="N37" s="408"/>
      <c r="O37" s="408"/>
      <c r="P37" s="408"/>
      <c r="Q37" s="408"/>
      <c r="R37" s="408"/>
      <c r="S37" s="408"/>
      <c r="T37" s="408"/>
      <c r="U37" s="408"/>
      <c r="V37" s="408"/>
      <c r="W37" s="408"/>
      <c r="X37" s="408"/>
      <c r="Y37" s="200" t="s">
        <v>119</v>
      </c>
    </row>
    <row r="38" spans="1:25" ht="36" customHeight="1">
      <c r="A38" s="521"/>
      <c r="B38" s="517" t="s">
        <v>166</v>
      </c>
      <c r="C38" s="518"/>
      <c r="D38" s="519"/>
      <c r="E38" s="395"/>
      <c r="F38" s="395"/>
      <c r="G38" s="395"/>
      <c r="H38" s="395"/>
      <c r="I38" s="395"/>
      <c r="J38" s="395"/>
      <c r="K38" s="395"/>
      <c r="L38" s="395"/>
      <c r="M38" s="395"/>
      <c r="N38" s="395"/>
      <c r="O38" s="395"/>
      <c r="P38" s="395"/>
      <c r="Q38" s="395"/>
      <c r="R38" s="395"/>
      <c r="S38" s="395"/>
      <c r="T38" s="395"/>
      <c r="U38" s="395"/>
      <c r="V38" s="395"/>
      <c r="W38" s="395"/>
      <c r="X38" s="395"/>
      <c r="Y38" s="200" t="s">
        <v>120</v>
      </c>
    </row>
    <row r="39" spans="1:24" ht="45" customHeight="1">
      <c r="A39" s="440" t="s">
        <v>437</v>
      </c>
      <c r="B39" s="440"/>
      <c r="C39" s="440"/>
      <c r="D39" s="440"/>
      <c r="E39" s="498" t="s">
        <v>440</v>
      </c>
      <c r="F39" s="498"/>
      <c r="G39" s="498"/>
      <c r="H39" s="498"/>
      <c r="I39" s="498"/>
      <c r="J39" s="498"/>
      <c r="K39" s="498"/>
      <c r="L39" s="498"/>
      <c r="M39" s="498"/>
      <c r="N39" s="498"/>
      <c r="O39" s="498"/>
      <c r="P39" s="498"/>
      <c r="Q39" s="498"/>
      <c r="R39" s="498"/>
      <c r="S39" s="498"/>
      <c r="T39" s="498"/>
      <c r="U39" s="498"/>
      <c r="V39" s="498"/>
      <c r="W39" s="498"/>
      <c r="X39" s="498"/>
    </row>
    <row r="40" spans="1:25" ht="45.75" customHeight="1">
      <c r="A40" s="436" t="s">
        <v>449</v>
      </c>
      <c r="B40" s="437"/>
      <c r="C40" s="437"/>
      <c r="D40" s="489"/>
      <c r="E40" s="396"/>
      <c r="F40" s="396"/>
      <c r="G40" s="396"/>
      <c r="H40" s="396"/>
      <c r="I40" s="396"/>
      <c r="J40" s="396"/>
      <c r="K40" s="396"/>
      <c r="L40" s="396"/>
      <c r="M40" s="396"/>
      <c r="N40" s="396"/>
      <c r="O40" s="396"/>
      <c r="P40" s="396"/>
      <c r="Q40" s="396"/>
      <c r="R40" s="396"/>
      <c r="S40" s="396"/>
      <c r="T40" s="396"/>
      <c r="U40" s="396"/>
      <c r="V40" s="396"/>
      <c r="W40" s="396"/>
      <c r="X40" s="396"/>
      <c r="Y40" s="200" t="s">
        <v>121</v>
      </c>
    </row>
    <row r="41" spans="1:25" ht="27" customHeight="1">
      <c r="A41" s="557" t="s">
        <v>1109</v>
      </c>
      <c r="B41" s="558"/>
      <c r="C41" s="558"/>
      <c r="D41" s="559"/>
      <c r="E41" s="410">
        <v>0</v>
      </c>
      <c r="F41" s="410"/>
      <c r="G41" s="410"/>
      <c r="H41" s="410"/>
      <c r="I41" s="410"/>
      <c r="J41" s="410">
        <v>0</v>
      </c>
      <c r="K41" s="410"/>
      <c r="L41" s="410"/>
      <c r="M41" s="410"/>
      <c r="N41" s="410"/>
      <c r="O41" s="410">
        <v>0</v>
      </c>
      <c r="P41" s="410"/>
      <c r="Q41" s="410"/>
      <c r="R41" s="410"/>
      <c r="S41" s="410"/>
      <c r="T41" s="410">
        <v>0</v>
      </c>
      <c r="U41" s="410"/>
      <c r="V41" s="410"/>
      <c r="W41" s="410"/>
      <c r="X41" s="410"/>
      <c r="Y41" s="200" t="s">
        <v>122</v>
      </c>
    </row>
    <row r="42" spans="1:25" ht="21" customHeight="1">
      <c r="A42" s="511" t="s">
        <v>1115</v>
      </c>
      <c r="B42" s="342" t="s">
        <v>438</v>
      </c>
      <c r="C42" s="342"/>
      <c r="D42" s="343"/>
      <c r="E42" s="411">
        <f>T(機械1_現地納入業者_名称)</f>
      </c>
      <c r="F42" s="411"/>
      <c r="G42" s="411"/>
      <c r="H42" s="411"/>
      <c r="I42" s="411"/>
      <c r="J42" s="411">
        <f>T(機械2_現地納入業者_名称)</f>
      </c>
      <c r="K42" s="411"/>
      <c r="L42" s="411"/>
      <c r="M42" s="411"/>
      <c r="N42" s="411"/>
      <c r="O42" s="411">
        <f>T(機械3_現地納入業者_名称)</f>
      </c>
      <c r="P42" s="411"/>
      <c r="Q42" s="411"/>
      <c r="R42" s="411"/>
      <c r="S42" s="411"/>
      <c r="T42" s="411">
        <f>T(機械4_現地納入業者_名称)</f>
      </c>
      <c r="U42" s="411"/>
      <c r="V42" s="411"/>
      <c r="W42" s="411"/>
      <c r="X42" s="411"/>
      <c r="Y42" s="200" t="s">
        <v>208</v>
      </c>
    </row>
    <row r="43" spans="1:25" ht="21" customHeight="1">
      <c r="A43" s="512"/>
      <c r="B43" s="329" t="s">
        <v>439</v>
      </c>
      <c r="C43" s="329"/>
      <c r="D43" s="330"/>
      <c r="E43" s="554">
        <f>機械1_見積価格</f>
        <v>0</v>
      </c>
      <c r="F43" s="554"/>
      <c r="G43" s="554"/>
      <c r="H43" s="554"/>
      <c r="I43" s="554"/>
      <c r="J43" s="554">
        <f>機械2_見積価格</f>
        <v>0</v>
      </c>
      <c r="K43" s="554"/>
      <c r="L43" s="554"/>
      <c r="M43" s="554"/>
      <c r="N43" s="554"/>
      <c r="O43" s="554">
        <f>機械3_見積価格</f>
        <v>0</v>
      </c>
      <c r="P43" s="554"/>
      <c r="Q43" s="554"/>
      <c r="R43" s="554"/>
      <c r="S43" s="554"/>
      <c r="T43" s="554">
        <f>機械4_見積価格</f>
        <v>0</v>
      </c>
      <c r="U43" s="554"/>
      <c r="V43" s="554"/>
      <c r="W43" s="554"/>
      <c r="X43" s="554"/>
      <c r="Y43" s="200" t="s">
        <v>209</v>
      </c>
    </row>
    <row r="44" spans="1:25" ht="21" customHeight="1">
      <c r="A44" s="511" t="s">
        <v>1116</v>
      </c>
      <c r="B44" s="342" t="s">
        <v>438</v>
      </c>
      <c r="C44" s="342"/>
      <c r="D44" s="343"/>
      <c r="E44" s="513"/>
      <c r="F44" s="513"/>
      <c r="G44" s="513"/>
      <c r="H44" s="513"/>
      <c r="I44" s="513"/>
      <c r="J44" s="513"/>
      <c r="K44" s="513"/>
      <c r="L44" s="513"/>
      <c r="M44" s="513"/>
      <c r="N44" s="513"/>
      <c r="O44" s="513"/>
      <c r="P44" s="513"/>
      <c r="Q44" s="513"/>
      <c r="R44" s="513"/>
      <c r="S44" s="513"/>
      <c r="T44" s="513"/>
      <c r="U44" s="513"/>
      <c r="V44" s="513"/>
      <c r="W44" s="513"/>
      <c r="X44" s="513"/>
      <c r="Y44" s="200" t="s">
        <v>123</v>
      </c>
    </row>
    <row r="45" spans="1:25" ht="21" customHeight="1">
      <c r="A45" s="512"/>
      <c r="B45" s="329" t="s">
        <v>439</v>
      </c>
      <c r="C45" s="329"/>
      <c r="D45" s="330"/>
      <c r="E45" s="477">
        <v>0</v>
      </c>
      <c r="F45" s="477"/>
      <c r="G45" s="477"/>
      <c r="H45" s="477"/>
      <c r="I45" s="477"/>
      <c r="J45" s="477">
        <v>0</v>
      </c>
      <c r="K45" s="477"/>
      <c r="L45" s="477"/>
      <c r="M45" s="477"/>
      <c r="N45" s="477"/>
      <c r="O45" s="477">
        <v>0</v>
      </c>
      <c r="P45" s="477"/>
      <c r="Q45" s="477"/>
      <c r="R45" s="477"/>
      <c r="S45" s="477"/>
      <c r="T45" s="477">
        <v>0</v>
      </c>
      <c r="U45" s="477"/>
      <c r="V45" s="477"/>
      <c r="W45" s="477"/>
      <c r="X45" s="477"/>
      <c r="Y45" s="200" t="s">
        <v>124</v>
      </c>
    </row>
    <row r="46" spans="1:25" ht="21" customHeight="1">
      <c r="A46" s="562" t="s">
        <v>1117</v>
      </c>
      <c r="B46" s="555" t="s">
        <v>438</v>
      </c>
      <c r="C46" s="555"/>
      <c r="D46" s="556"/>
      <c r="E46" s="513"/>
      <c r="F46" s="513"/>
      <c r="G46" s="513"/>
      <c r="H46" s="513"/>
      <c r="I46" s="513"/>
      <c r="J46" s="513"/>
      <c r="K46" s="513"/>
      <c r="L46" s="513"/>
      <c r="M46" s="513"/>
      <c r="N46" s="513"/>
      <c r="O46" s="513"/>
      <c r="P46" s="513"/>
      <c r="Q46" s="513"/>
      <c r="R46" s="513"/>
      <c r="S46" s="513"/>
      <c r="T46" s="513"/>
      <c r="U46" s="513"/>
      <c r="V46" s="513"/>
      <c r="W46" s="513"/>
      <c r="X46" s="513"/>
      <c r="Y46" s="200" t="s">
        <v>123</v>
      </c>
    </row>
    <row r="47" spans="1:25" ht="21" customHeight="1">
      <c r="A47" s="512"/>
      <c r="B47" s="329" t="s">
        <v>439</v>
      </c>
      <c r="C47" s="329"/>
      <c r="D47" s="330"/>
      <c r="E47" s="477">
        <v>0</v>
      </c>
      <c r="F47" s="477"/>
      <c r="G47" s="477"/>
      <c r="H47" s="477"/>
      <c r="I47" s="477"/>
      <c r="J47" s="477">
        <v>0</v>
      </c>
      <c r="K47" s="477"/>
      <c r="L47" s="477"/>
      <c r="M47" s="477"/>
      <c r="N47" s="477"/>
      <c r="O47" s="477">
        <v>0</v>
      </c>
      <c r="P47" s="477"/>
      <c r="Q47" s="477"/>
      <c r="R47" s="477"/>
      <c r="S47" s="477"/>
      <c r="T47" s="477">
        <v>0</v>
      </c>
      <c r="U47" s="477"/>
      <c r="V47" s="477"/>
      <c r="W47" s="477"/>
      <c r="X47" s="477"/>
      <c r="Y47" s="200" t="s">
        <v>124</v>
      </c>
    </row>
    <row r="48" spans="1:24" ht="35.25" customHeight="1">
      <c r="A48" s="440" t="s">
        <v>441</v>
      </c>
      <c r="B48" s="440"/>
      <c r="C48" s="440"/>
      <c r="D48" s="440"/>
      <c r="E48" s="440"/>
      <c r="F48" s="440"/>
      <c r="G48" s="498" t="s">
        <v>446</v>
      </c>
      <c r="H48" s="498"/>
      <c r="I48" s="498"/>
      <c r="J48" s="498"/>
      <c r="K48" s="498"/>
      <c r="L48" s="498"/>
      <c r="M48" s="498"/>
      <c r="N48" s="498"/>
      <c r="O48" s="498"/>
      <c r="P48" s="498"/>
      <c r="Q48" s="498"/>
      <c r="R48" s="498"/>
      <c r="S48" s="498"/>
      <c r="T48" s="498"/>
      <c r="U48" s="498"/>
      <c r="V48" s="498"/>
      <c r="W48" s="498"/>
      <c r="X48" s="498"/>
    </row>
    <row r="49" spans="1:25" ht="30.75" customHeight="1">
      <c r="A49" s="341" t="s">
        <v>442</v>
      </c>
      <c r="B49" s="342"/>
      <c r="C49" s="342"/>
      <c r="D49" s="343"/>
      <c r="E49" s="407"/>
      <c r="F49" s="407"/>
      <c r="G49" s="407"/>
      <c r="H49" s="407"/>
      <c r="I49" s="407"/>
      <c r="J49" s="407"/>
      <c r="K49" s="407"/>
      <c r="L49" s="407"/>
      <c r="M49" s="407"/>
      <c r="N49" s="407"/>
      <c r="O49" s="407"/>
      <c r="P49" s="407"/>
      <c r="Q49" s="407"/>
      <c r="R49" s="407"/>
      <c r="S49" s="407"/>
      <c r="T49" s="407"/>
      <c r="U49" s="407"/>
      <c r="V49" s="407"/>
      <c r="W49" s="407"/>
      <c r="X49" s="407"/>
      <c r="Y49" s="200" t="s">
        <v>125</v>
      </c>
    </row>
    <row r="50" spans="1:25" ht="29.25" customHeight="1">
      <c r="A50" s="560" t="s">
        <v>443</v>
      </c>
      <c r="B50" s="482" t="s">
        <v>444</v>
      </c>
      <c r="C50" s="482"/>
      <c r="D50" s="561"/>
      <c r="E50" s="485"/>
      <c r="F50" s="485"/>
      <c r="G50" s="485"/>
      <c r="H50" s="485"/>
      <c r="I50" s="485"/>
      <c r="J50" s="485"/>
      <c r="K50" s="485"/>
      <c r="L50" s="485"/>
      <c r="M50" s="485"/>
      <c r="N50" s="485"/>
      <c r="O50" s="485"/>
      <c r="P50" s="485"/>
      <c r="Q50" s="485"/>
      <c r="R50" s="485"/>
      <c r="S50" s="485"/>
      <c r="T50" s="485"/>
      <c r="U50" s="485"/>
      <c r="V50" s="485"/>
      <c r="W50" s="485"/>
      <c r="X50" s="485"/>
      <c r="Y50" s="200" t="s">
        <v>126</v>
      </c>
    </row>
    <row r="51" spans="1:25" ht="29.25" customHeight="1">
      <c r="A51" s="560"/>
      <c r="B51" s="482" t="s">
        <v>445</v>
      </c>
      <c r="C51" s="482"/>
      <c r="D51" s="561"/>
      <c r="E51" s="485"/>
      <c r="F51" s="485"/>
      <c r="G51" s="485"/>
      <c r="H51" s="485"/>
      <c r="I51" s="485"/>
      <c r="J51" s="485"/>
      <c r="K51" s="485"/>
      <c r="L51" s="485"/>
      <c r="M51" s="485"/>
      <c r="N51" s="485"/>
      <c r="O51" s="485"/>
      <c r="P51" s="485"/>
      <c r="Q51" s="485"/>
      <c r="R51" s="485"/>
      <c r="S51" s="485"/>
      <c r="T51" s="485"/>
      <c r="U51" s="485"/>
      <c r="V51" s="485"/>
      <c r="W51" s="485"/>
      <c r="X51" s="485"/>
      <c r="Y51" s="200" t="s">
        <v>139</v>
      </c>
    </row>
    <row r="52" spans="1:25" ht="29.25" customHeight="1">
      <c r="A52" s="560" t="s">
        <v>448</v>
      </c>
      <c r="B52" s="332" t="s">
        <v>468</v>
      </c>
      <c r="C52" s="332"/>
      <c r="D52" s="327"/>
      <c r="E52" s="485"/>
      <c r="F52" s="485"/>
      <c r="G52" s="485"/>
      <c r="H52" s="485"/>
      <c r="I52" s="485"/>
      <c r="J52" s="485"/>
      <c r="K52" s="485"/>
      <c r="L52" s="485"/>
      <c r="M52" s="485"/>
      <c r="N52" s="485"/>
      <c r="O52" s="485"/>
      <c r="P52" s="485"/>
      <c r="Q52" s="485"/>
      <c r="R52" s="485"/>
      <c r="S52" s="485"/>
      <c r="T52" s="485"/>
      <c r="U52" s="485"/>
      <c r="V52" s="485"/>
      <c r="W52" s="485"/>
      <c r="X52" s="485"/>
      <c r="Y52" s="200" t="s">
        <v>140</v>
      </c>
    </row>
    <row r="53" spans="1:25" ht="29.25" customHeight="1">
      <c r="A53" s="560"/>
      <c r="B53" s="332" t="s">
        <v>469</v>
      </c>
      <c r="C53" s="332"/>
      <c r="D53" s="327"/>
      <c r="E53" s="485"/>
      <c r="F53" s="485"/>
      <c r="G53" s="485"/>
      <c r="H53" s="485"/>
      <c r="I53" s="485"/>
      <c r="J53" s="485"/>
      <c r="K53" s="485"/>
      <c r="L53" s="485"/>
      <c r="M53" s="485"/>
      <c r="N53" s="485"/>
      <c r="O53" s="485"/>
      <c r="P53" s="485"/>
      <c r="Q53" s="485"/>
      <c r="R53" s="485"/>
      <c r="S53" s="485"/>
      <c r="T53" s="485"/>
      <c r="U53" s="485"/>
      <c r="V53" s="485"/>
      <c r="W53" s="485"/>
      <c r="X53" s="485"/>
      <c r="Y53" s="200" t="s">
        <v>141</v>
      </c>
    </row>
    <row r="54" spans="1:25" ht="75" customHeight="1">
      <c r="A54" s="328" t="s">
        <v>470</v>
      </c>
      <c r="B54" s="329"/>
      <c r="C54" s="329"/>
      <c r="D54" s="330"/>
      <c r="E54" s="504"/>
      <c r="F54" s="504"/>
      <c r="G54" s="504"/>
      <c r="H54" s="504"/>
      <c r="I54" s="504"/>
      <c r="J54" s="504"/>
      <c r="K54" s="504"/>
      <c r="L54" s="504"/>
      <c r="M54" s="504"/>
      <c r="N54" s="504"/>
      <c r="O54" s="504"/>
      <c r="P54" s="504"/>
      <c r="Q54" s="504"/>
      <c r="R54" s="504"/>
      <c r="S54" s="504"/>
      <c r="T54" s="504"/>
      <c r="U54" s="504"/>
      <c r="V54" s="504"/>
      <c r="W54" s="504"/>
      <c r="X54" s="504"/>
      <c r="Y54" s="200" t="s">
        <v>142</v>
      </c>
    </row>
    <row r="55" spans="1:7" ht="35.25" customHeight="1">
      <c r="A55" s="574" t="s">
        <v>475</v>
      </c>
      <c r="B55" s="574"/>
      <c r="C55" s="574"/>
      <c r="D55" s="574"/>
      <c r="E55" s="574"/>
      <c r="F55" s="574"/>
      <c r="G55" s="574"/>
    </row>
    <row r="56" spans="1:24" ht="35.25" customHeight="1">
      <c r="A56" s="65"/>
      <c r="B56" s="65"/>
      <c r="C56" s="575" t="s">
        <v>1108</v>
      </c>
      <c r="D56" s="576"/>
      <c r="E56" s="576"/>
      <c r="F56" s="576"/>
      <c r="G56" s="576"/>
      <c r="H56" s="576"/>
      <c r="I56" s="576"/>
      <c r="J56" s="576"/>
      <c r="K56" s="576"/>
      <c r="L56" s="576"/>
      <c r="M56" s="576"/>
      <c r="N56" s="576"/>
      <c r="O56" s="576"/>
      <c r="P56" s="576"/>
      <c r="Q56" s="576"/>
      <c r="R56" s="576"/>
      <c r="S56" s="576"/>
      <c r="T56" s="576"/>
      <c r="U56" s="576"/>
      <c r="V56" s="576"/>
      <c r="W56" s="19"/>
      <c r="X56" s="19"/>
    </row>
    <row r="57" spans="1:25" ht="26.25" customHeight="1">
      <c r="A57" s="50"/>
      <c r="B57" s="50"/>
      <c r="C57" s="573" t="s">
        <v>377</v>
      </c>
      <c r="D57" s="573"/>
      <c r="E57" s="573"/>
      <c r="F57" s="573"/>
      <c r="G57" s="573"/>
      <c r="H57" s="573"/>
      <c r="I57" s="573"/>
      <c r="J57" s="573"/>
      <c r="K57" s="573"/>
      <c r="L57" s="573"/>
      <c r="M57" s="573"/>
      <c r="N57" s="573"/>
      <c r="O57" s="573"/>
      <c r="P57" s="573"/>
      <c r="Q57" s="573"/>
      <c r="R57" s="573"/>
      <c r="S57" s="573"/>
      <c r="T57" s="573"/>
      <c r="U57" s="573"/>
      <c r="V57" s="573"/>
      <c r="W57" s="50"/>
      <c r="X57" s="50"/>
      <c r="Y57" s="200" t="s">
        <v>146</v>
      </c>
    </row>
    <row r="58" spans="1:25" ht="24" customHeight="1">
      <c r="A58" s="50"/>
      <c r="B58" s="50"/>
      <c r="C58" s="568" t="s">
        <v>692</v>
      </c>
      <c r="D58" s="569"/>
      <c r="E58" s="569"/>
      <c r="F58" s="569"/>
      <c r="G58" s="569"/>
      <c r="H58" s="569"/>
      <c r="I58" s="569"/>
      <c r="J58" s="569"/>
      <c r="K58" s="569"/>
      <c r="L58" s="570"/>
      <c r="M58" s="571"/>
      <c r="N58" s="571"/>
      <c r="O58" s="572" t="s">
        <v>693</v>
      </c>
      <c r="P58" s="569"/>
      <c r="Q58" s="569"/>
      <c r="R58" s="569"/>
      <c r="S58" s="570"/>
      <c r="T58" s="566" t="s">
        <v>374</v>
      </c>
      <c r="U58" s="566"/>
      <c r="V58" s="567"/>
      <c r="W58" s="50"/>
      <c r="X58" s="50"/>
      <c r="Y58" s="200" t="s">
        <v>143</v>
      </c>
    </row>
    <row r="59" spans="1:24" ht="21" customHeight="1">
      <c r="A59" s="50"/>
      <c r="B59" s="68"/>
      <c r="C59" s="467" t="s">
        <v>1021</v>
      </c>
      <c r="D59" s="468"/>
      <c r="E59" s="468"/>
      <c r="F59" s="468"/>
      <c r="G59" s="468"/>
      <c r="H59" s="468"/>
      <c r="I59" s="468"/>
      <c r="J59" s="468"/>
      <c r="K59" s="90" t="s">
        <v>482</v>
      </c>
      <c r="L59" s="91"/>
      <c r="M59" s="91"/>
      <c r="N59" s="91"/>
      <c r="O59" s="91"/>
      <c r="P59" s="91"/>
      <c r="Q59" s="91"/>
      <c r="R59" s="91"/>
      <c r="S59" s="91"/>
      <c r="T59" s="91"/>
      <c r="U59" s="91"/>
      <c r="V59" s="92"/>
      <c r="W59" s="67"/>
      <c r="X59" s="50"/>
    </row>
    <row r="60" spans="1:33" s="74" customFormat="1" ht="21" customHeight="1">
      <c r="A60" s="70"/>
      <c r="B60" s="71"/>
      <c r="C60" s="492" t="s">
        <v>1018</v>
      </c>
      <c r="D60" s="72" t="s">
        <v>1160</v>
      </c>
      <c r="E60" s="495"/>
      <c r="F60" s="496"/>
      <c r="G60" s="496"/>
      <c r="H60" s="496"/>
      <c r="I60" s="496"/>
      <c r="J60" s="496"/>
      <c r="K60" s="496"/>
      <c r="L60" s="497"/>
      <c r="M60" s="492" t="s">
        <v>1019</v>
      </c>
      <c r="N60" s="72" t="s">
        <v>1160</v>
      </c>
      <c r="O60" s="495"/>
      <c r="P60" s="496"/>
      <c r="Q60" s="496"/>
      <c r="R60" s="496"/>
      <c r="S60" s="496"/>
      <c r="T60" s="496"/>
      <c r="U60" s="496"/>
      <c r="V60" s="497"/>
      <c r="W60" s="73"/>
      <c r="X60" s="70"/>
      <c r="Y60" s="204" t="s">
        <v>144</v>
      </c>
      <c r="Z60" s="198"/>
      <c r="AA60" s="198"/>
      <c r="AB60" s="198"/>
      <c r="AC60" s="198"/>
      <c r="AD60" s="198"/>
      <c r="AE60" s="198"/>
      <c r="AF60" s="198"/>
      <c r="AG60" s="199"/>
    </row>
    <row r="61" spans="1:33" s="74" customFormat="1" ht="21" customHeight="1">
      <c r="A61" s="70"/>
      <c r="B61" s="71"/>
      <c r="C61" s="493"/>
      <c r="D61" s="75" t="s">
        <v>82</v>
      </c>
      <c r="E61" s="501"/>
      <c r="F61" s="502"/>
      <c r="G61" s="502"/>
      <c r="H61" s="502"/>
      <c r="I61" s="502"/>
      <c r="J61" s="502"/>
      <c r="K61" s="502"/>
      <c r="L61" s="503"/>
      <c r="M61" s="493"/>
      <c r="N61" s="76" t="s">
        <v>1020</v>
      </c>
      <c r="O61" s="501"/>
      <c r="P61" s="502"/>
      <c r="Q61" s="502"/>
      <c r="R61" s="502"/>
      <c r="S61" s="502"/>
      <c r="T61" s="502"/>
      <c r="U61" s="502"/>
      <c r="V61" s="503"/>
      <c r="W61" s="73"/>
      <c r="X61" s="70"/>
      <c r="Y61" s="204" t="s">
        <v>145</v>
      </c>
      <c r="Z61" s="198"/>
      <c r="AA61" s="198"/>
      <c r="AB61" s="198"/>
      <c r="AC61" s="198"/>
      <c r="AD61" s="198"/>
      <c r="AE61" s="198"/>
      <c r="AF61" s="198"/>
      <c r="AG61" s="199"/>
    </row>
    <row r="62" spans="1:33" s="74" customFormat="1" ht="21" customHeight="1">
      <c r="A62" s="70"/>
      <c r="B62" s="71"/>
      <c r="C62" s="494"/>
      <c r="D62" s="77"/>
      <c r="E62" s="490"/>
      <c r="F62" s="490"/>
      <c r="G62" s="490"/>
      <c r="H62" s="490"/>
      <c r="I62" s="490"/>
      <c r="J62" s="490"/>
      <c r="K62" s="490"/>
      <c r="L62" s="491"/>
      <c r="M62" s="494"/>
      <c r="N62" s="78" t="s">
        <v>667</v>
      </c>
      <c r="O62" s="563"/>
      <c r="P62" s="564"/>
      <c r="Q62" s="564"/>
      <c r="R62" s="564"/>
      <c r="S62" s="564"/>
      <c r="T62" s="564"/>
      <c r="U62" s="564"/>
      <c r="V62" s="565"/>
      <c r="W62" s="73"/>
      <c r="X62" s="70"/>
      <c r="Y62" s="204"/>
      <c r="Z62" s="198"/>
      <c r="AA62" s="198"/>
      <c r="AB62" s="198"/>
      <c r="AC62" s="198"/>
      <c r="AD62" s="198"/>
      <c r="AE62" s="198"/>
      <c r="AF62" s="198"/>
      <c r="AG62" s="199"/>
    </row>
    <row r="63" spans="1:24" ht="21" customHeight="1">
      <c r="A63" s="50"/>
      <c r="B63" s="68"/>
      <c r="C63" s="507" t="s">
        <v>476</v>
      </c>
      <c r="D63" s="508"/>
      <c r="E63" s="508"/>
      <c r="F63" s="508"/>
      <c r="G63" s="508"/>
      <c r="H63" s="508"/>
      <c r="I63" s="508"/>
      <c r="J63" s="508"/>
      <c r="K63" s="508"/>
      <c r="L63" s="508"/>
      <c r="M63" s="508"/>
      <c r="N63" s="509"/>
      <c r="O63" s="342" t="s">
        <v>480</v>
      </c>
      <c r="P63" s="342"/>
      <c r="Q63" s="342"/>
      <c r="R63" s="342"/>
      <c r="S63" s="342" t="s">
        <v>481</v>
      </c>
      <c r="T63" s="342"/>
      <c r="U63" s="342"/>
      <c r="V63" s="343"/>
      <c r="W63" s="67"/>
      <c r="X63" s="50"/>
    </row>
    <row r="64" spans="1:25" ht="21" customHeight="1">
      <c r="A64" s="50"/>
      <c r="B64" s="68"/>
      <c r="C64" s="486" t="s">
        <v>477</v>
      </c>
      <c r="D64" s="487"/>
      <c r="E64" s="487"/>
      <c r="F64" s="487"/>
      <c r="G64" s="487"/>
      <c r="H64" s="487"/>
      <c r="I64" s="487"/>
      <c r="J64" s="487"/>
      <c r="K64" s="487"/>
      <c r="L64" s="487"/>
      <c r="M64" s="487"/>
      <c r="N64" s="487"/>
      <c r="O64" s="314"/>
      <c r="P64" s="315"/>
      <c r="Q64" s="315"/>
      <c r="R64" s="346"/>
      <c r="S64" s="314"/>
      <c r="T64" s="315"/>
      <c r="U64" s="315"/>
      <c r="V64" s="316"/>
      <c r="W64" s="67"/>
      <c r="X64" s="50"/>
      <c r="Y64" s="200" t="s">
        <v>147</v>
      </c>
    </row>
    <row r="65" spans="1:25" ht="21" customHeight="1">
      <c r="A65" s="50"/>
      <c r="B65" s="68"/>
      <c r="C65" s="486" t="s">
        <v>478</v>
      </c>
      <c r="D65" s="487"/>
      <c r="E65" s="487"/>
      <c r="F65" s="487"/>
      <c r="G65" s="487"/>
      <c r="H65" s="487"/>
      <c r="I65" s="487"/>
      <c r="J65" s="487"/>
      <c r="K65" s="487"/>
      <c r="L65" s="487"/>
      <c r="M65" s="487"/>
      <c r="N65" s="487"/>
      <c r="O65" s="314"/>
      <c r="P65" s="315"/>
      <c r="Q65" s="315"/>
      <c r="R65" s="346"/>
      <c r="S65" s="314"/>
      <c r="T65" s="315"/>
      <c r="U65" s="315"/>
      <c r="V65" s="316"/>
      <c r="W65" s="67"/>
      <c r="X65" s="50"/>
      <c r="Y65" s="200" t="s">
        <v>148</v>
      </c>
    </row>
    <row r="66" spans="1:24" ht="21" customHeight="1">
      <c r="A66" s="50"/>
      <c r="B66" s="68"/>
      <c r="C66" s="337" t="s">
        <v>479</v>
      </c>
      <c r="D66" s="338"/>
      <c r="E66" s="338"/>
      <c r="F66" s="338"/>
      <c r="G66" s="339"/>
      <c r="H66" s="339"/>
      <c r="I66" s="339"/>
      <c r="J66" s="339"/>
      <c r="K66" s="339"/>
      <c r="L66" s="339"/>
      <c r="M66" s="339"/>
      <c r="N66" s="339"/>
      <c r="O66" s="402"/>
      <c r="P66" s="403"/>
      <c r="Q66" s="403"/>
      <c r="R66" s="404"/>
      <c r="S66" s="402"/>
      <c r="T66" s="403"/>
      <c r="U66" s="403"/>
      <c r="V66" s="550"/>
      <c r="W66" s="67"/>
      <c r="X66" s="50"/>
    </row>
    <row r="67" spans="1:24" ht="17.25" customHeight="1">
      <c r="A67" s="50"/>
      <c r="B67" s="68"/>
      <c r="C67" s="341" t="s">
        <v>1128</v>
      </c>
      <c r="D67" s="342"/>
      <c r="E67" s="342"/>
      <c r="F67" s="343"/>
      <c r="G67" s="505" t="s">
        <v>483</v>
      </c>
      <c r="H67" s="406"/>
      <c r="I67" s="406" t="s">
        <v>484</v>
      </c>
      <c r="J67" s="406"/>
      <c r="K67" s="406"/>
      <c r="L67" s="406"/>
      <c r="M67" s="406"/>
      <c r="N67" s="406"/>
      <c r="O67" s="406" t="s">
        <v>485</v>
      </c>
      <c r="P67" s="406"/>
      <c r="Q67" s="406" t="s">
        <v>486</v>
      </c>
      <c r="R67" s="406"/>
      <c r="S67" s="406" t="s">
        <v>487</v>
      </c>
      <c r="T67" s="406"/>
      <c r="U67" s="406" t="s">
        <v>488</v>
      </c>
      <c r="V67" s="499"/>
      <c r="W67" s="67"/>
      <c r="X67" s="50"/>
    </row>
    <row r="68" spans="1:24" ht="17.25" customHeight="1">
      <c r="A68" s="50"/>
      <c r="B68" s="68"/>
      <c r="C68" s="331"/>
      <c r="D68" s="332"/>
      <c r="E68" s="332"/>
      <c r="F68" s="327"/>
      <c r="G68" s="506"/>
      <c r="H68" s="340"/>
      <c r="I68" s="340" t="s">
        <v>489</v>
      </c>
      <c r="J68" s="340"/>
      <c r="K68" s="340" t="s">
        <v>490</v>
      </c>
      <c r="L68" s="340"/>
      <c r="M68" s="340" t="s">
        <v>491</v>
      </c>
      <c r="N68" s="340"/>
      <c r="O68" s="340"/>
      <c r="P68" s="340"/>
      <c r="Q68" s="340"/>
      <c r="R68" s="340"/>
      <c r="S68" s="340"/>
      <c r="T68" s="340"/>
      <c r="U68" s="340"/>
      <c r="V68" s="500"/>
      <c r="W68" s="67"/>
      <c r="X68" s="50"/>
    </row>
    <row r="69" spans="1:25" ht="21" customHeight="1">
      <c r="A69" s="50"/>
      <c r="B69" s="68"/>
      <c r="C69" s="328"/>
      <c r="D69" s="329"/>
      <c r="E69" s="329"/>
      <c r="F69" s="330"/>
      <c r="G69" s="510"/>
      <c r="H69" s="336"/>
      <c r="I69" s="336"/>
      <c r="J69" s="336"/>
      <c r="K69" s="336"/>
      <c r="L69" s="336"/>
      <c r="M69" s="336"/>
      <c r="N69" s="336"/>
      <c r="O69" s="336"/>
      <c r="P69" s="336"/>
      <c r="Q69" s="394"/>
      <c r="R69" s="336"/>
      <c r="S69" s="336"/>
      <c r="T69" s="336"/>
      <c r="U69" s="336"/>
      <c r="V69" s="405"/>
      <c r="W69" s="67"/>
      <c r="X69" s="50"/>
      <c r="Y69" s="200" t="s">
        <v>149</v>
      </c>
    </row>
    <row r="70" spans="1:25" ht="21" customHeight="1">
      <c r="A70" s="50"/>
      <c r="B70" s="68"/>
      <c r="C70" s="341" t="s">
        <v>497</v>
      </c>
      <c r="D70" s="342"/>
      <c r="E70" s="342"/>
      <c r="F70" s="306"/>
      <c r="G70" s="305" t="s">
        <v>503</v>
      </c>
      <c r="H70" s="317"/>
      <c r="I70" s="312"/>
      <c r="J70" s="312"/>
      <c r="K70" s="312"/>
      <c r="L70" s="312"/>
      <c r="M70" s="312"/>
      <c r="N70" s="57" t="s">
        <v>498</v>
      </c>
      <c r="O70" s="57"/>
      <c r="P70" s="57"/>
      <c r="Q70" s="312"/>
      <c r="R70" s="312"/>
      <c r="S70" s="312"/>
      <c r="T70" s="312"/>
      <c r="U70" s="352" t="s">
        <v>499</v>
      </c>
      <c r="V70" s="353"/>
      <c r="W70" s="67"/>
      <c r="X70" s="50"/>
      <c r="Y70" s="200" t="s">
        <v>153</v>
      </c>
    </row>
    <row r="71" spans="1:25" ht="21" customHeight="1">
      <c r="A71" s="50"/>
      <c r="B71" s="68"/>
      <c r="C71" s="331"/>
      <c r="D71" s="332"/>
      <c r="E71" s="332"/>
      <c r="F71" s="320"/>
      <c r="G71" s="301" t="s">
        <v>504</v>
      </c>
      <c r="H71" s="302"/>
      <c r="I71" s="308"/>
      <c r="J71" s="308"/>
      <c r="K71" s="308"/>
      <c r="L71" s="308"/>
      <c r="M71" s="308"/>
      <c r="N71" s="54" t="s">
        <v>500</v>
      </c>
      <c r="O71" s="54"/>
      <c r="P71" s="54"/>
      <c r="Q71" s="308"/>
      <c r="R71" s="308"/>
      <c r="S71" s="308"/>
      <c r="T71" s="308"/>
      <c r="U71" s="350" t="s">
        <v>502</v>
      </c>
      <c r="V71" s="351"/>
      <c r="W71" s="67"/>
      <c r="X71" s="50"/>
      <c r="Y71" s="200" t="s">
        <v>154</v>
      </c>
    </row>
    <row r="72" spans="1:25" ht="21" customHeight="1">
      <c r="A72" s="50"/>
      <c r="B72" s="68"/>
      <c r="C72" s="331"/>
      <c r="D72" s="332"/>
      <c r="E72" s="332"/>
      <c r="F72" s="320"/>
      <c r="G72" s="301"/>
      <c r="H72" s="302"/>
      <c r="I72" s="308"/>
      <c r="J72" s="308"/>
      <c r="K72" s="308"/>
      <c r="L72" s="308"/>
      <c r="M72" s="308"/>
      <c r="N72" s="54" t="s">
        <v>501</v>
      </c>
      <c r="O72" s="54"/>
      <c r="P72" s="54"/>
      <c r="Q72" s="308"/>
      <c r="R72" s="308"/>
      <c r="S72" s="308"/>
      <c r="T72" s="308"/>
      <c r="U72" s="350" t="s">
        <v>502</v>
      </c>
      <c r="V72" s="351"/>
      <c r="W72" s="67"/>
      <c r="X72" s="50"/>
      <c r="Y72" s="200" t="s">
        <v>155</v>
      </c>
    </row>
    <row r="73" spans="1:25" ht="21" customHeight="1">
      <c r="A73" s="50"/>
      <c r="B73" s="68"/>
      <c r="C73" s="328"/>
      <c r="D73" s="329"/>
      <c r="E73" s="329"/>
      <c r="F73" s="307"/>
      <c r="G73" s="303"/>
      <c r="H73" s="304"/>
      <c r="I73" s="309"/>
      <c r="J73" s="309"/>
      <c r="K73" s="309"/>
      <c r="L73" s="309"/>
      <c r="M73" s="309"/>
      <c r="N73" s="309"/>
      <c r="O73" s="309"/>
      <c r="P73" s="309"/>
      <c r="Q73" s="309"/>
      <c r="R73" s="309"/>
      <c r="S73" s="309"/>
      <c r="T73" s="309"/>
      <c r="U73" s="309"/>
      <c r="V73" s="310"/>
      <c r="W73" s="67"/>
      <c r="X73" s="50"/>
      <c r="Y73" s="200" t="s">
        <v>156</v>
      </c>
    </row>
    <row r="74" spans="1:24" ht="24" customHeight="1">
      <c r="A74" s="311" t="s">
        <v>505</v>
      </c>
      <c r="B74" s="311"/>
      <c r="C74" s="311"/>
      <c r="D74" s="311"/>
      <c r="E74" s="311"/>
      <c r="F74" s="311"/>
      <c r="G74" s="311"/>
      <c r="H74" s="311"/>
      <c r="I74" s="311"/>
      <c r="J74" s="311"/>
      <c r="K74" s="311"/>
      <c r="L74" s="311"/>
      <c r="M74" s="311"/>
      <c r="N74" s="311"/>
      <c r="O74" s="311"/>
      <c r="P74" s="311"/>
      <c r="Q74" s="311"/>
      <c r="R74" s="311"/>
      <c r="S74" s="311"/>
      <c r="T74" s="311"/>
      <c r="U74" s="311"/>
      <c r="V74" s="311"/>
      <c r="W74" s="311"/>
      <c r="X74" s="311"/>
    </row>
    <row r="75" spans="1:25" ht="24" customHeight="1">
      <c r="A75" s="341" t="s">
        <v>350</v>
      </c>
      <c r="B75" s="342"/>
      <c r="C75" s="488"/>
      <c r="D75" s="488"/>
      <c r="E75" s="488"/>
      <c r="F75" s="488"/>
      <c r="G75" s="342" t="s">
        <v>1111</v>
      </c>
      <c r="H75" s="342"/>
      <c r="I75" s="319"/>
      <c r="J75" s="319"/>
      <c r="K75" s="319"/>
      <c r="L75" s="319"/>
      <c r="M75" s="322" t="s">
        <v>1113</v>
      </c>
      <c r="N75" s="323"/>
      <c r="O75" s="312"/>
      <c r="P75" s="312"/>
      <c r="Q75" s="312"/>
      <c r="R75" s="312"/>
      <c r="S75" s="342"/>
      <c r="T75" s="342"/>
      <c r="U75" s="317"/>
      <c r="V75" s="317"/>
      <c r="W75" s="317"/>
      <c r="X75" s="318"/>
      <c r="Y75" s="200" t="s">
        <v>157</v>
      </c>
    </row>
    <row r="76" spans="1:25" ht="24" customHeight="1">
      <c r="A76" s="344" t="s">
        <v>352</v>
      </c>
      <c r="B76" s="345"/>
      <c r="C76" s="314"/>
      <c r="D76" s="315"/>
      <c r="E76" s="315"/>
      <c r="F76" s="346"/>
      <c r="G76" s="320" t="s">
        <v>1112</v>
      </c>
      <c r="H76" s="321"/>
      <c r="I76" s="347"/>
      <c r="J76" s="348"/>
      <c r="K76" s="348"/>
      <c r="L76" s="349"/>
      <c r="M76" s="320" t="s">
        <v>506</v>
      </c>
      <c r="N76" s="321"/>
      <c r="O76" s="314"/>
      <c r="P76" s="315"/>
      <c r="Q76" s="315"/>
      <c r="R76" s="346"/>
      <c r="S76" s="320" t="s">
        <v>1114</v>
      </c>
      <c r="T76" s="321"/>
      <c r="U76" s="314"/>
      <c r="V76" s="315"/>
      <c r="W76" s="315"/>
      <c r="X76" s="316"/>
      <c r="Y76" s="193" t="s">
        <v>158</v>
      </c>
    </row>
    <row r="77" spans="1:24" ht="24" customHeight="1">
      <c r="A77" s="328" t="s">
        <v>351</v>
      </c>
      <c r="B77" s="329"/>
      <c r="C77" s="309"/>
      <c r="D77" s="309"/>
      <c r="E77" s="461"/>
      <c r="F77" s="461"/>
      <c r="G77" s="461"/>
      <c r="H77" s="461"/>
      <c r="I77" s="461"/>
      <c r="J77" s="461"/>
      <c r="K77" s="461"/>
      <c r="L77" s="461"/>
      <c r="M77" s="461"/>
      <c r="N77" s="461"/>
      <c r="O77" s="313" t="s">
        <v>509</v>
      </c>
      <c r="P77" s="313"/>
      <c r="Q77" s="313"/>
      <c r="R77" s="324" t="s">
        <v>374</v>
      </c>
      <c r="S77" s="325"/>
      <c r="T77" s="325"/>
      <c r="U77" s="325"/>
      <c r="V77" s="325"/>
      <c r="W77" s="325"/>
      <c r="X77" s="326"/>
    </row>
    <row r="78" spans="1:24" ht="24" customHeight="1">
      <c r="A78" s="59" t="s">
        <v>647</v>
      </c>
      <c r="D78" s="553" t="s">
        <v>654</v>
      </c>
      <c r="E78" s="553"/>
      <c r="F78" s="553"/>
      <c r="G78" s="553"/>
      <c r="H78" s="553"/>
      <c r="I78" s="553"/>
      <c r="J78" s="553"/>
      <c r="K78" s="553"/>
      <c r="L78" s="553"/>
      <c r="M78" s="553"/>
      <c r="N78" s="553"/>
      <c r="O78" s="553"/>
      <c r="P78" s="553"/>
      <c r="Q78" s="553"/>
      <c r="R78" s="553"/>
      <c r="S78" s="553"/>
      <c r="T78" s="553"/>
      <c r="U78" s="553"/>
      <c r="V78" s="553"/>
      <c r="W78" s="553"/>
      <c r="X78" s="553"/>
    </row>
    <row r="79" spans="1:25" ht="30.75" customHeight="1">
      <c r="A79" s="444" t="s">
        <v>646</v>
      </c>
      <c r="B79" s="445"/>
      <c r="C79" s="445"/>
      <c r="D79" s="459">
        <v>0</v>
      </c>
      <c r="E79" s="459"/>
      <c r="F79" s="460"/>
      <c r="G79" s="58" t="s">
        <v>648</v>
      </c>
      <c r="H79" s="257">
        <v>0</v>
      </c>
      <c r="I79" s="63" t="s">
        <v>649</v>
      </c>
      <c r="J79" s="190"/>
      <c r="K79" s="547" t="s">
        <v>454</v>
      </c>
      <c r="L79" s="548"/>
      <c r="M79" s="549"/>
      <c r="N79" s="551"/>
      <c r="O79" s="551"/>
      <c r="P79" s="552"/>
      <c r="Q79" s="465" t="s">
        <v>650</v>
      </c>
      <c r="R79" s="466"/>
      <c r="S79" s="62">
        <f>U79+W79</f>
        <v>0</v>
      </c>
      <c r="T79" s="60" t="s">
        <v>651</v>
      </c>
      <c r="U79" s="192"/>
      <c r="V79" s="60" t="s">
        <v>652</v>
      </c>
      <c r="W79" s="192"/>
      <c r="X79" s="61" t="s">
        <v>653</v>
      </c>
      <c r="Y79" s="200" t="s">
        <v>288</v>
      </c>
    </row>
    <row r="80" spans="1:25" ht="30.75" customHeight="1">
      <c r="A80" s="616" t="s">
        <v>655</v>
      </c>
      <c r="B80" s="478" t="s">
        <v>656</v>
      </c>
      <c r="C80" s="478"/>
      <c r="D80" s="618"/>
      <c r="E80" s="618"/>
      <c r="F80" s="618"/>
      <c r="G80" s="478" t="s">
        <v>658</v>
      </c>
      <c r="H80" s="478"/>
      <c r="I80" s="479"/>
      <c r="J80" s="480"/>
      <c r="K80" s="481"/>
      <c r="L80" s="590" t="s">
        <v>662</v>
      </c>
      <c r="M80" s="478"/>
      <c r="N80" s="478"/>
      <c r="O80" s="478"/>
      <c r="P80" s="591" t="s">
        <v>661</v>
      </c>
      <c r="Q80" s="577"/>
      <c r="R80" s="578"/>
      <c r="S80" s="578"/>
      <c r="T80" s="578"/>
      <c r="U80" s="578"/>
      <c r="V80" s="578"/>
      <c r="W80" s="578"/>
      <c r="X80" s="579"/>
      <c r="Y80" s="193" t="s">
        <v>289</v>
      </c>
    </row>
    <row r="81" spans="1:25" ht="30.75" customHeight="1">
      <c r="A81" s="560"/>
      <c r="B81" s="482" t="s">
        <v>657</v>
      </c>
      <c r="C81" s="482"/>
      <c r="D81" s="593"/>
      <c r="E81" s="593"/>
      <c r="F81" s="593"/>
      <c r="G81" s="482" t="s">
        <v>659</v>
      </c>
      <c r="H81" s="482"/>
      <c r="I81" s="482"/>
      <c r="J81" s="483"/>
      <c r="K81" s="484"/>
      <c r="L81" s="588">
        <v>0</v>
      </c>
      <c r="M81" s="589"/>
      <c r="N81" s="589"/>
      <c r="O81" s="589"/>
      <c r="P81" s="592"/>
      <c r="Q81" s="580"/>
      <c r="R81" s="581"/>
      <c r="S81" s="581"/>
      <c r="T81" s="581"/>
      <c r="U81" s="581"/>
      <c r="V81" s="581"/>
      <c r="W81" s="581"/>
      <c r="X81" s="582"/>
      <c r="Y81" s="200" t="s">
        <v>210</v>
      </c>
    </row>
    <row r="82" spans="1:25" ht="30.75" customHeight="1">
      <c r="A82" s="617"/>
      <c r="B82" s="599" t="s">
        <v>663</v>
      </c>
      <c r="C82" s="599"/>
      <c r="D82" s="600"/>
      <c r="E82" s="600"/>
      <c r="F82" s="600"/>
      <c r="G82" s="599" t="s">
        <v>660</v>
      </c>
      <c r="H82" s="599"/>
      <c r="I82" s="605"/>
      <c r="J82" s="606"/>
      <c r="K82" s="607"/>
      <c r="L82" s="333" t="s">
        <v>450</v>
      </c>
      <c r="M82" s="613"/>
      <c r="N82" s="614"/>
      <c r="O82" s="614"/>
      <c r="P82" s="614"/>
      <c r="Q82" s="614"/>
      <c r="R82" s="614"/>
      <c r="S82" s="614"/>
      <c r="T82" s="614"/>
      <c r="U82" s="614"/>
      <c r="V82" s="614"/>
      <c r="W82" s="614"/>
      <c r="X82" s="615"/>
      <c r="Y82" s="334" t="s">
        <v>451</v>
      </c>
    </row>
    <row r="83" spans="1:25" ht="30.75" customHeight="1">
      <c r="A83" s="601" t="s">
        <v>664</v>
      </c>
      <c r="B83" s="602"/>
      <c r="C83" s="602"/>
      <c r="D83" s="603"/>
      <c r="E83" s="603"/>
      <c r="F83" s="604"/>
      <c r="G83" s="163" t="s">
        <v>665</v>
      </c>
      <c r="H83" s="596"/>
      <c r="I83" s="597"/>
      <c r="J83" s="597"/>
      <c r="K83" s="597"/>
      <c r="L83" s="597"/>
      <c r="M83" s="597"/>
      <c r="N83" s="597"/>
      <c r="O83" s="597"/>
      <c r="P83" s="597"/>
      <c r="Q83" s="597"/>
      <c r="R83" s="597"/>
      <c r="S83" s="597"/>
      <c r="T83" s="597"/>
      <c r="U83" s="597"/>
      <c r="V83" s="597"/>
      <c r="W83" s="597"/>
      <c r="X83" s="598"/>
      <c r="Y83" s="200" t="s">
        <v>290</v>
      </c>
    </row>
    <row r="84" spans="1:33" s="74" customFormat="1" ht="30.75" customHeight="1">
      <c r="A84" s="297"/>
      <c r="B84" s="297"/>
      <c r="C84" s="297"/>
      <c r="D84" s="298"/>
      <c r="E84" s="298"/>
      <c r="F84" s="298"/>
      <c r="G84" s="299"/>
      <c r="H84" s="300"/>
      <c r="I84" s="300"/>
      <c r="J84" s="300"/>
      <c r="K84" s="300"/>
      <c r="L84" s="300"/>
      <c r="M84" s="300"/>
      <c r="N84" s="300"/>
      <c r="O84" s="300"/>
      <c r="P84" s="300"/>
      <c r="Q84" s="300"/>
      <c r="R84" s="300"/>
      <c r="S84" s="300"/>
      <c r="T84" s="300"/>
      <c r="U84" s="300"/>
      <c r="V84" s="300"/>
      <c r="W84" s="300"/>
      <c r="X84" s="300"/>
      <c r="Y84" s="204"/>
      <c r="Z84" s="198"/>
      <c r="AA84" s="198"/>
      <c r="AB84" s="198"/>
      <c r="AC84" s="198"/>
      <c r="AD84" s="198"/>
      <c r="AE84" s="198"/>
      <c r="AF84" s="198"/>
      <c r="AG84" s="199"/>
    </row>
    <row r="85" spans="1:33" s="74" customFormat="1" ht="72" customHeight="1">
      <c r="A85" s="608" t="s">
        <v>150</v>
      </c>
      <c r="B85" s="609"/>
      <c r="C85" s="609"/>
      <c r="D85" s="610"/>
      <c r="E85" s="610"/>
      <c r="F85" s="611"/>
      <c r="G85" s="920"/>
      <c r="H85" s="921"/>
      <c r="I85" s="921"/>
      <c r="J85" s="922"/>
      <c r="K85" s="922"/>
      <c r="L85" s="922"/>
      <c r="M85" s="922"/>
      <c r="N85" s="922"/>
      <c r="O85" s="922"/>
      <c r="P85" s="922"/>
      <c r="Q85" s="922"/>
      <c r="R85" s="922"/>
      <c r="S85" s="922"/>
      <c r="T85" s="922"/>
      <c r="U85" s="922"/>
      <c r="V85" s="922"/>
      <c r="W85" s="922"/>
      <c r="X85" s="923"/>
      <c r="Y85" s="204" t="s">
        <v>151</v>
      </c>
      <c r="Z85" s="198"/>
      <c r="AA85" s="198"/>
      <c r="AB85" s="198"/>
      <c r="AC85" s="198"/>
      <c r="AD85" s="198"/>
      <c r="AE85" s="198"/>
      <c r="AF85" s="198"/>
      <c r="AG85" s="199"/>
    </row>
    <row r="86" spans="1:33" s="74" customFormat="1" ht="30.75" customHeight="1">
      <c r="A86" s="297"/>
      <c r="B86" s="297"/>
      <c r="C86" s="297"/>
      <c r="D86" s="298"/>
      <c r="E86" s="298"/>
      <c r="F86" s="298"/>
      <c r="G86" s="299"/>
      <c r="H86" s="300"/>
      <c r="I86" s="300"/>
      <c r="J86" s="300"/>
      <c r="K86" s="300"/>
      <c r="L86" s="300"/>
      <c r="M86" s="300"/>
      <c r="N86" s="300"/>
      <c r="O86" s="300"/>
      <c r="P86" s="300"/>
      <c r="Q86" s="300"/>
      <c r="R86" s="300"/>
      <c r="S86" s="300"/>
      <c r="T86" s="300"/>
      <c r="U86" s="300"/>
      <c r="V86" s="300"/>
      <c r="W86" s="300"/>
      <c r="X86" s="300"/>
      <c r="Y86" s="204"/>
      <c r="Z86" s="198"/>
      <c r="AA86" s="198"/>
      <c r="AB86" s="198"/>
      <c r="AC86" s="198"/>
      <c r="AD86" s="198"/>
      <c r="AE86" s="198"/>
      <c r="AF86" s="198"/>
      <c r="AG86" s="199"/>
    </row>
    <row r="87" spans="1:25" ht="25.5" customHeight="1">
      <c r="A87" s="93" t="s">
        <v>1118</v>
      </c>
      <c r="B87" s="50"/>
      <c r="E87" s="94" t="s">
        <v>1119</v>
      </c>
      <c r="Y87" s="193" t="s">
        <v>211</v>
      </c>
    </row>
    <row r="88" spans="1:25" ht="25.5" customHeight="1">
      <c r="A88" s="3"/>
      <c r="B88" s="1" t="s">
        <v>1158</v>
      </c>
      <c r="C88" s="1"/>
      <c r="D88" s="14"/>
      <c r="E88" s="14" t="s">
        <v>327</v>
      </c>
      <c r="F88" s="191">
        <v>0</v>
      </c>
      <c r="G88" s="1" t="s">
        <v>1152</v>
      </c>
      <c r="H88" s="1"/>
      <c r="I88" s="1"/>
      <c r="J88" s="1"/>
      <c r="K88" s="1"/>
      <c r="L88" s="1"/>
      <c r="M88" s="1"/>
      <c r="N88" s="1"/>
      <c r="O88" s="1"/>
      <c r="Y88" s="200" t="s">
        <v>291</v>
      </c>
    </row>
    <row r="89" spans="1:15" ht="25.5" customHeight="1">
      <c r="A89" s="612" t="s">
        <v>1153</v>
      </c>
      <c r="B89" s="594"/>
      <c r="C89" s="594"/>
      <c r="D89" s="594" t="s">
        <v>1132</v>
      </c>
      <c r="E89" s="594"/>
      <c r="F89" s="594"/>
      <c r="G89" s="594"/>
      <c r="H89" s="594"/>
      <c r="I89" s="594" t="s">
        <v>1131</v>
      </c>
      <c r="J89" s="594"/>
      <c r="K89" s="594"/>
      <c r="L89" s="594"/>
      <c r="M89" s="594"/>
      <c r="N89" s="594"/>
      <c r="O89" s="595"/>
    </row>
    <row r="90" spans="1:25" ht="25.5" customHeight="1">
      <c r="A90" s="583"/>
      <c r="B90" s="584"/>
      <c r="C90" s="584"/>
      <c r="D90" s="584"/>
      <c r="E90" s="584"/>
      <c r="F90" s="584"/>
      <c r="G90" s="584"/>
      <c r="H90" s="25" t="s">
        <v>1134</v>
      </c>
      <c r="I90" s="585"/>
      <c r="J90" s="586"/>
      <c r="K90" s="586"/>
      <c r="L90" s="586"/>
      <c r="M90" s="586"/>
      <c r="N90" s="586"/>
      <c r="O90" s="587"/>
      <c r="Y90" s="200" t="s">
        <v>292</v>
      </c>
    </row>
    <row r="91" spans="1:25" ht="25.5" customHeight="1">
      <c r="A91" s="583"/>
      <c r="B91" s="584"/>
      <c r="C91" s="584"/>
      <c r="D91" s="584"/>
      <c r="E91" s="584"/>
      <c r="F91" s="584"/>
      <c r="G91" s="584"/>
      <c r="H91" s="25" t="s">
        <v>1134</v>
      </c>
      <c r="I91" s="585"/>
      <c r="J91" s="586"/>
      <c r="K91" s="586"/>
      <c r="L91" s="586"/>
      <c r="M91" s="586"/>
      <c r="N91" s="586"/>
      <c r="O91" s="587"/>
      <c r="Y91" s="200" t="s">
        <v>293</v>
      </c>
    </row>
    <row r="92" spans="1:15" ht="25.5" customHeight="1">
      <c r="A92" s="583"/>
      <c r="B92" s="584"/>
      <c r="C92" s="584"/>
      <c r="D92" s="584"/>
      <c r="E92" s="584"/>
      <c r="F92" s="584"/>
      <c r="G92" s="584"/>
      <c r="H92" s="25" t="s">
        <v>1134</v>
      </c>
      <c r="I92" s="585"/>
      <c r="J92" s="586"/>
      <c r="K92" s="586"/>
      <c r="L92" s="586"/>
      <c r="M92" s="586"/>
      <c r="N92" s="586"/>
      <c r="O92" s="587"/>
    </row>
    <row r="93" spans="1:15" ht="25.5" customHeight="1">
      <c r="A93" s="583"/>
      <c r="B93" s="584"/>
      <c r="C93" s="584"/>
      <c r="D93" s="584"/>
      <c r="E93" s="584"/>
      <c r="F93" s="584"/>
      <c r="G93" s="584"/>
      <c r="H93" s="25" t="s">
        <v>1134</v>
      </c>
      <c r="I93" s="585"/>
      <c r="J93" s="586"/>
      <c r="K93" s="586"/>
      <c r="L93" s="586"/>
      <c r="M93" s="586"/>
      <c r="N93" s="586"/>
      <c r="O93" s="587"/>
    </row>
    <row r="94" spans="1:15" ht="25.5" customHeight="1">
      <c r="A94" s="583"/>
      <c r="B94" s="584"/>
      <c r="C94" s="584"/>
      <c r="D94" s="584"/>
      <c r="E94" s="584"/>
      <c r="F94" s="584"/>
      <c r="G94" s="584"/>
      <c r="H94" s="25" t="s">
        <v>1134</v>
      </c>
      <c r="I94" s="585"/>
      <c r="J94" s="586"/>
      <c r="K94" s="586"/>
      <c r="L94" s="586"/>
      <c r="M94" s="586"/>
      <c r="N94" s="586"/>
      <c r="O94" s="587"/>
    </row>
    <row r="95" spans="1:15" ht="25.5" customHeight="1">
      <c r="A95" s="583"/>
      <c r="B95" s="584"/>
      <c r="C95" s="584"/>
      <c r="D95" s="584"/>
      <c r="E95" s="584"/>
      <c r="F95" s="584"/>
      <c r="G95" s="584"/>
      <c r="H95" s="25" t="s">
        <v>1134</v>
      </c>
      <c r="I95" s="584"/>
      <c r="J95" s="584"/>
      <c r="K95" s="584"/>
      <c r="L95" s="584"/>
      <c r="M95" s="584"/>
      <c r="N95" s="584"/>
      <c r="O95" s="619"/>
    </row>
    <row r="96" spans="1:15" ht="25.5" customHeight="1">
      <c r="A96" s="583"/>
      <c r="B96" s="584"/>
      <c r="C96" s="584"/>
      <c r="D96" s="584"/>
      <c r="E96" s="584"/>
      <c r="F96" s="584"/>
      <c r="G96" s="584"/>
      <c r="H96" s="25" t="s">
        <v>1134</v>
      </c>
      <c r="I96" s="584"/>
      <c r="J96" s="584"/>
      <c r="K96" s="584"/>
      <c r="L96" s="584"/>
      <c r="M96" s="584"/>
      <c r="N96" s="584"/>
      <c r="O96" s="619"/>
    </row>
    <row r="97" spans="1:15" ht="25.5" customHeight="1">
      <c r="A97" s="583"/>
      <c r="B97" s="584"/>
      <c r="C97" s="584"/>
      <c r="D97" s="584"/>
      <c r="E97" s="584"/>
      <c r="F97" s="584"/>
      <c r="G97" s="584"/>
      <c r="H97" s="25" t="s">
        <v>1134</v>
      </c>
      <c r="I97" s="584"/>
      <c r="J97" s="584"/>
      <c r="K97" s="584"/>
      <c r="L97" s="584"/>
      <c r="M97" s="584"/>
      <c r="N97" s="584"/>
      <c r="O97" s="619"/>
    </row>
    <row r="98" spans="1:15" ht="25.5" customHeight="1">
      <c r="A98" s="583"/>
      <c r="B98" s="584"/>
      <c r="C98" s="584"/>
      <c r="D98" s="584"/>
      <c r="E98" s="584"/>
      <c r="F98" s="584"/>
      <c r="G98" s="584"/>
      <c r="H98" s="25" t="s">
        <v>1134</v>
      </c>
      <c r="I98" s="584"/>
      <c r="J98" s="584"/>
      <c r="K98" s="584"/>
      <c r="L98" s="584"/>
      <c r="M98" s="584"/>
      <c r="N98" s="584"/>
      <c r="O98" s="619"/>
    </row>
    <row r="99" spans="1:15" ht="25.5" customHeight="1">
      <c r="A99" s="583"/>
      <c r="B99" s="584"/>
      <c r="C99" s="584"/>
      <c r="D99" s="584"/>
      <c r="E99" s="584"/>
      <c r="F99" s="584"/>
      <c r="G99" s="584"/>
      <c r="H99" s="25" t="s">
        <v>1134</v>
      </c>
      <c r="I99" s="584"/>
      <c r="J99" s="584"/>
      <c r="K99" s="584"/>
      <c r="L99" s="584"/>
      <c r="M99" s="584"/>
      <c r="N99" s="584"/>
      <c r="O99" s="619"/>
    </row>
    <row r="100" spans="1:15" ht="25.5" customHeight="1">
      <c r="A100" s="583"/>
      <c r="B100" s="584"/>
      <c r="C100" s="584"/>
      <c r="D100" s="584"/>
      <c r="E100" s="584"/>
      <c r="F100" s="584"/>
      <c r="G100" s="584"/>
      <c r="H100" s="25" t="s">
        <v>1134</v>
      </c>
      <c r="I100" s="584"/>
      <c r="J100" s="584"/>
      <c r="K100" s="584"/>
      <c r="L100" s="584"/>
      <c r="M100" s="584"/>
      <c r="N100" s="584"/>
      <c r="O100" s="619"/>
    </row>
    <row r="101" spans="1:15" ht="25.5" customHeight="1">
      <c r="A101" s="620"/>
      <c r="B101" s="621"/>
      <c r="C101" s="621"/>
      <c r="D101" s="621"/>
      <c r="E101" s="621"/>
      <c r="F101" s="621"/>
      <c r="G101" s="621"/>
      <c r="H101" s="26" t="s">
        <v>1134</v>
      </c>
      <c r="I101" s="621"/>
      <c r="J101" s="621"/>
      <c r="K101" s="621"/>
      <c r="L101" s="621"/>
      <c r="M101" s="621"/>
      <c r="N101" s="621"/>
      <c r="O101" s="622"/>
    </row>
    <row r="102" spans="1:15" ht="21" customHeight="1">
      <c r="A102" s="1"/>
      <c r="B102" s="1"/>
      <c r="C102" s="1"/>
      <c r="D102" s="1"/>
      <c r="E102" s="1"/>
      <c r="F102" s="1"/>
      <c r="G102" s="1"/>
      <c r="H102" s="1"/>
      <c r="I102" s="1"/>
      <c r="J102" s="1"/>
      <c r="K102" s="1"/>
      <c r="L102" s="1"/>
      <c r="M102" s="1"/>
      <c r="N102" s="1"/>
      <c r="O102" s="1"/>
    </row>
    <row r="103" spans="1:25" ht="21" customHeight="1">
      <c r="A103" s="3" t="s">
        <v>1154</v>
      </c>
      <c r="B103" s="1" t="s">
        <v>1159</v>
      </c>
      <c r="C103" s="1"/>
      <c r="D103" s="1"/>
      <c r="E103" s="1"/>
      <c r="F103" s="15" t="s">
        <v>1160</v>
      </c>
      <c r="G103" s="623"/>
      <c r="H103" s="623"/>
      <c r="I103" s="623"/>
      <c r="J103" s="623"/>
      <c r="K103" s="623"/>
      <c r="L103" s="623"/>
      <c r="M103" s="623"/>
      <c r="N103" s="623"/>
      <c r="O103" s="623"/>
      <c r="Y103" s="200" t="s">
        <v>294</v>
      </c>
    </row>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sheetData>
  <sheetProtection selectLockedCells="1"/>
  <mergeCells count="396">
    <mergeCell ref="V13:W13"/>
    <mergeCell ref="T15:U15"/>
    <mergeCell ref="V15:W15"/>
    <mergeCell ref="O12:S13"/>
    <mergeCell ref="V12:W12"/>
    <mergeCell ref="Q14:R14"/>
    <mergeCell ref="T14:U14"/>
    <mergeCell ref="O15:P15"/>
    <mergeCell ref="Q15:R15"/>
    <mergeCell ref="T12:U12"/>
    <mergeCell ref="J13:K13"/>
    <mergeCell ref="E14:F14"/>
    <mergeCell ref="E15:F15"/>
    <mergeCell ref="G15:H15"/>
    <mergeCell ref="J15:K15"/>
    <mergeCell ref="G14:H14"/>
    <mergeCell ref="J14:K14"/>
    <mergeCell ref="A35:D35"/>
    <mergeCell ref="E35:I35"/>
    <mergeCell ref="J35:N35"/>
    <mergeCell ref="J50:N50"/>
    <mergeCell ref="A49:D49"/>
    <mergeCell ref="G48:X48"/>
    <mergeCell ref="O46:S46"/>
    <mergeCell ref="T46:X46"/>
    <mergeCell ref="E43:I43"/>
    <mergeCell ref="J42:N42"/>
    <mergeCell ref="G103:O103"/>
    <mergeCell ref="A25:D25"/>
    <mergeCell ref="E32:I32"/>
    <mergeCell ref="O29:S29"/>
    <mergeCell ref="B32:D32"/>
    <mergeCell ref="J25:N25"/>
    <mergeCell ref="J27:N27"/>
    <mergeCell ref="A31:A33"/>
    <mergeCell ref="E27:I27"/>
    <mergeCell ref="E28:I28"/>
    <mergeCell ref="A100:C100"/>
    <mergeCell ref="D100:G100"/>
    <mergeCell ref="I100:O100"/>
    <mergeCell ref="A101:C101"/>
    <mergeCell ref="D101:G101"/>
    <mergeCell ref="I101:O101"/>
    <mergeCell ref="A98:C98"/>
    <mergeCell ref="D98:G98"/>
    <mergeCell ref="I98:O98"/>
    <mergeCell ref="A99:C99"/>
    <mergeCell ref="D99:G99"/>
    <mergeCell ref="I99:O99"/>
    <mergeCell ref="A96:C96"/>
    <mergeCell ref="D96:G96"/>
    <mergeCell ref="I96:O96"/>
    <mergeCell ref="A97:C97"/>
    <mergeCell ref="D97:G97"/>
    <mergeCell ref="I97:O97"/>
    <mergeCell ref="A94:C94"/>
    <mergeCell ref="D94:G94"/>
    <mergeCell ref="I94:O94"/>
    <mergeCell ref="A95:C95"/>
    <mergeCell ref="D95:G95"/>
    <mergeCell ref="I95:O95"/>
    <mergeCell ref="A92:C92"/>
    <mergeCell ref="D92:G92"/>
    <mergeCell ref="I92:O92"/>
    <mergeCell ref="A93:C93"/>
    <mergeCell ref="D93:G93"/>
    <mergeCell ref="I93:O93"/>
    <mergeCell ref="A91:C91"/>
    <mergeCell ref="D91:G91"/>
    <mergeCell ref="G82:H82"/>
    <mergeCell ref="I91:O91"/>
    <mergeCell ref="A89:C89"/>
    <mergeCell ref="D89:H89"/>
    <mergeCell ref="M82:X82"/>
    <mergeCell ref="A80:A82"/>
    <mergeCell ref="B80:C80"/>
    <mergeCell ref="D80:F80"/>
    <mergeCell ref="I89:O89"/>
    <mergeCell ref="B81:C81"/>
    <mergeCell ref="H83:X83"/>
    <mergeCell ref="B82:C82"/>
    <mergeCell ref="D82:F82"/>
    <mergeCell ref="A83:C83"/>
    <mergeCell ref="D83:F83"/>
    <mergeCell ref="I82:K82"/>
    <mergeCell ref="A85:F85"/>
    <mergeCell ref="G85:X85"/>
    <mergeCell ref="O52:S52"/>
    <mergeCell ref="T52:X52"/>
    <mergeCell ref="Q80:X81"/>
    <mergeCell ref="A90:C90"/>
    <mergeCell ref="D90:G90"/>
    <mergeCell ref="I90:O90"/>
    <mergeCell ref="L81:O81"/>
    <mergeCell ref="L80:O80"/>
    <mergeCell ref="P80:P81"/>
    <mergeCell ref="D81:F81"/>
    <mergeCell ref="E54:I54"/>
    <mergeCell ref="J54:N54"/>
    <mergeCell ref="O54:S54"/>
    <mergeCell ref="C57:V57"/>
    <mergeCell ref="A55:G55"/>
    <mergeCell ref="C56:V56"/>
    <mergeCell ref="A54:D54"/>
    <mergeCell ref="C60:C62"/>
    <mergeCell ref="O62:V62"/>
    <mergeCell ref="O60:V60"/>
    <mergeCell ref="T58:V58"/>
    <mergeCell ref="C58:L58"/>
    <mergeCell ref="M58:N58"/>
    <mergeCell ref="O58:S58"/>
    <mergeCell ref="A41:D41"/>
    <mergeCell ref="A52:A53"/>
    <mergeCell ref="A50:A51"/>
    <mergeCell ref="B50:D50"/>
    <mergeCell ref="B53:D53"/>
    <mergeCell ref="B51:D51"/>
    <mergeCell ref="A42:A43"/>
    <mergeCell ref="B45:D45"/>
    <mergeCell ref="B44:D44"/>
    <mergeCell ref="A46:A47"/>
    <mergeCell ref="J51:N51"/>
    <mergeCell ref="J47:N47"/>
    <mergeCell ref="B52:D52"/>
    <mergeCell ref="J46:N46"/>
    <mergeCell ref="E49:I49"/>
    <mergeCell ref="B47:D47"/>
    <mergeCell ref="B46:D46"/>
    <mergeCell ref="E47:I47"/>
    <mergeCell ref="T43:X43"/>
    <mergeCell ref="O43:S43"/>
    <mergeCell ref="J43:N43"/>
    <mergeCell ref="T45:X45"/>
    <mergeCell ref="T44:X44"/>
    <mergeCell ref="O44:S44"/>
    <mergeCell ref="O45:S45"/>
    <mergeCell ref="J45:N45"/>
    <mergeCell ref="J44:N44"/>
    <mergeCell ref="K79:M79"/>
    <mergeCell ref="S66:V66"/>
    <mergeCell ref="N79:P79"/>
    <mergeCell ref="C65:N65"/>
    <mergeCell ref="O65:R65"/>
    <mergeCell ref="S67:T68"/>
    <mergeCell ref="I67:N67"/>
    <mergeCell ref="A79:C79"/>
    <mergeCell ref="D78:X78"/>
    <mergeCell ref="G76:H76"/>
    <mergeCell ref="T33:X33"/>
    <mergeCell ref="O24:S24"/>
    <mergeCell ref="T24:X24"/>
    <mergeCell ref="T30:X30"/>
    <mergeCell ref="T32:X32"/>
    <mergeCell ref="T25:X25"/>
    <mergeCell ref="O25:S25"/>
    <mergeCell ref="O27:S27"/>
    <mergeCell ref="T27:X27"/>
    <mergeCell ref="O32:S32"/>
    <mergeCell ref="O23:S23"/>
    <mergeCell ref="T23:X23"/>
    <mergeCell ref="E22:X22"/>
    <mergeCell ref="J16:K16"/>
    <mergeCell ref="S19:V19"/>
    <mergeCell ref="V17:W17"/>
    <mergeCell ref="G17:H17"/>
    <mergeCell ref="L17:M17"/>
    <mergeCell ref="A1:X2"/>
    <mergeCell ref="J26:N26"/>
    <mergeCell ref="A3:X3"/>
    <mergeCell ref="C7:G7"/>
    <mergeCell ref="A18:D18"/>
    <mergeCell ref="E12:F12"/>
    <mergeCell ref="E24:I24"/>
    <mergeCell ref="J24:N24"/>
    <mergeCell ref="V14:W14"/>
    <mergeCell ref="S18:X18"/>
    <mergeCell ref="C6:J6"/>
    <mergeCell ref="E26:I26"/>
    <mergeCell ref="A11:D11"/>
    <mergeCell ref="E11:X11"/>
    <mergeCell ref="A12:A17"/>
    <mergeCell ref="R5:S6"/>
    <mergeCell ref="T16:U16"/>
    <mergeCell ref="J7:L7"/>
    <mergeCell ref="M7:X7"/>
    <mergeCell ref="W19:X19"/>
    <mergeCell ref="E41:I41"/>
    <mergeCell ref="O41:S41"/>
    <mergeCell ref="J41:N41"/>
    <mergeCell ref="O42:S42"/>
    <mergeCell ref="B37:D37"/>
    <mergeCell ref="B38:D38"/>
    <mergeCell ref="A36:A38"/>
    <mergeCell ref="J36:N36"/>
    <mergeCell ref="E37:I37"/>
    <mergeCell ref="E38:I38"/>
    <mergeCell ref="J37:N37"/>
    <mergeCell ref="J38:N38"/>
    <mergeCell ref="B36:D36"/>
    <mergeCell ref="E36:I36"/>
    <mergeCell ref="A44:A45"/>
    <mergeCell ref="B43:D43"/>
    <mergeCell ref="B42:D42"/>
    <mergeCell ref="E46:I46"/>
    <mergeCell ref="E42:I42"/>
    <mergeCell ref="E45:I45"/>
    <mergeCell ref="E44:I44"/>
    <mergeCell ref="E53:I53"/>
    <mergeCell ref="E52:I52"/>
    <mergeCell ref="E51:I51"/>
    <mergeCell ref="A77:B77"/>
    <mergeCell ref="C77:D77"/>
    <mergeCell ref="I70:M70"/>
    <mergeCell ref="I71:M71"/>
    <mergeCell ref="G67:H68"/>
    <mergeCell ref="C63:N63"/>
    <mergeCell ref="G69:H69"/>
    <mergeCell ref="O47:S47"/>
    <mergeCell ref="J49:N49"/>
    <mergeCell ref="A48:F48"/>
    <mergeCell ref="O61:V61"/>
    <mergeCell ref="T54:X54"/>
    <mergeCell ref="E50:I50"/>
    <mergeCell ref="E61:L61"/>
    <mergeCell ref="J52:N52"/>
    <mergeCell ref="J53:N53"/>
    <mergeCell ref="O53:S53"/>
    <mergeCell ref="U67:V68"/>
    <mergeCell ref="O64:R64"/>
    <mergeCell ref="O63:R63"/>
    <mergeCell ref="S63:V63"/>
    <mergeCell ref="T53:X53"/>
    <mergeCell ref="A39:D39"/>
    <mergeCell ref="C64:N64"/>
    <mergeCell ref="A75:B75"/>
    <mergeCell ref="C75:F75"/>
    <mergeCell ref="A40:D40"/>
    <mergeCell ref="E62:L62"/>
    <mergeCell ref="M60:M62"/>
    <mergeCell ref="E60:L60"/>
    <mergeCell ref="E39:X39"/>
    <mergeCell ref="T47:X47"/>
    <mergeCell ref="G80:H80"/>
    <mergeCell ref="I80:K80"/>
    <mergeCell ref="G81:I81"/>
    <mergeCell ref="J81:K81"/>
    <mergeCell ref="T51:X51"/>
    <mergeCell ref="O51:S51"/>
    <mergeCell ref="O50:S50"/>
    <mergeCell ref="T49:X49"/>
    <mergeCell ref="T50:X50"/>
    <mergeCell ref="J40:N40"/>
    <mergeCell ref="E40:I40"/>
    <mergeCell ref="V16:W16"/>
    <mergeCell ref="L16:M16"/>
    <mergeCell ref="O16:P16"/>
    <mergeCell ref="E17:F17"/>
    <mergeCell ref="J17:K17"/>
    <mergeCell ref="E16:F16"/>
    <mergeCell ref="G16:H16"/>
    <mergeCell ref="T17:U17"/>
    <mergeCell ref="J12:K12"/>
    <mergeCell ref="D79:F79"/>
    <mergeCell ref="E77:N77"/>
    <mergeCell ref="M5:Q5"/>
    <mergeCell ref="K5:L6"/>
    <mergeCell ref="Q79:R79"/>
    <mergeCell ref="J30:N30"/>
    <mergeCell ref="O30:S30"/>
    <mergeCell ref="C59:J59"/>
    <mergeCell ref="O14:P14"/>
    <mergeCell ref="L12:M12"/>
    <mergeCell ref="L15:M15"/>
    <mergeCell ref="L13:M13"/>
    <mergeCell ref="L14:M14"/>
    <mergeCell ref="T13:U13"/>
    <mergeCell ref="A22:D22"/>
    <mergeCell ref="E18:R18"/>
    <mergeCell ref="L21:O21"/>
    <mergeCell ref="A20:D20"/>
    <mergeCell ref="A21:D21"/>
    <mergeCell ref="E21:F21"/>
    <mergeCell ref="I21:K21"/>
    <mergeCell ref="B17:D17"/>
    <mergeCell ref="O17:P17"/>
    <mergeCell ref="J32:N32"/>
    <mergeCell ref="A34:D34"/>
    <mergeCell ref="E19:R19"/>
    <mergeCell ref="E23:I23"/>
    <mergeCell ref="O31:S31"/>
    <mergeCell ref="O33:S33"/>
    <mergeCell ref="J29:N29"/>
    <mergeCell ref="A27:D27"/>
    <mergeCell ref="E31:I31"/>
    <mergeCell ref="A19:D19"/>
    <mergeCell ref="T26:X26"/>
    <mergeCell ref="O26:S26"/>
    <mergeCell ref="E29:I29"/>
    <mergeCell ref="B31:D31"/>
    <mergeCell ref="A30:D30"/>
    <mergeCell ref="E30:I30"/>
    <mergeCell ref="A29:D29"/>
    <mergeCell ref="T29:X29"/>
    <mergeCell ref="J31:N31"/>
    <mergeCell ref="T31:X31"/>
    <mergeCell ref="A23:D23"/>
    <mergeCell ref="A26:D26"/>
    <mergeCell ref="E25:I25"/>
    <mergeCell ref="E34:I34"/>
    <mergeCell ref="A24:D24"/>
    <mergeCell ref="E33:I33"/>
    <mergeCell ref="B33:D33"/>
    <mergeCell ref="A28:D28"/>
    <mergeCell ref="T38:X38"/>
    <mergeCell ref="T40:X40"/>
    <mergeCell ref="T41:X41"/>
    <mergeCell ref="T42:X42"/>
    <mergeCell ref="O49:S49"/>
    <mergeCell ref="T37:X37"/>
    <mergeCell ref="O28:S28"/>
    <mergeCell ref="T28:X28"/>
    <mergeCell ref="O37:S37"/>
    <mergeCell ref="O36:S36"/>
    <mergeCell ref="T36:X36"/>
    <mergeCell ref="T34:X34"/>
    <mergeCell ref="O34:S34"/>
    <mergeCell ref="O35:S35"/>
    <mergeCell ref="T35:X35"/>
    <mergeCell ref="S64:V64"/>
    <mergeCell ref="M68:N68"/>
    <mergeCell ref="S69:T69"/>
    <mergeCell ref="S65:V65"/>
    <mergeCell ref="O66:R66"/>
    <mergeCell ref="U69:V69"/>
    <mergeCell ref="O67:P68"/>
    <mergeCell ref="Q67:R68"/>
    <mergeCell ref="O69:P69"/>
    <mergeCell ref="M6:Q6"/>
    <mergeCell ref="Q17:R17"/>
    <mergeCell ref="Q16:R16"/>
    <mergeCell ref="Q69:R69"/>
    <mergeCell ref="O38:S38"/>
    <mergeCell ref="O40:S40"/>
    <mergeCell ref="J23:N23"/>
    <mergeCell ref="J28:N28"/>
    <mergeCell ref="J34:N34"/>
    <mergeCell ref="J33:N33"/>
    <mergeCell ref="B16:D16"/>
    <mergeCell ref="B12:D15"/>
    <mergeCell ref="E13:F13"/>
    <mergeCell ref="G13:H13"/>
    <mergeCell ref="G12:H12"/>
    <mergeCell ref="A4:B4"/>
    <mergeCell ref="A8:X8"/>
    <mergeCell ref="A10:X10"/>
    <mergeCell ref="A9:X9"/>
    <mergeCell ref="A5:B6"/>
    <mergeCell ref="C5:J5"/>
    <mergeCell ref="A7:B7"/>
    <mergeCell ref="H7:I7"/>
    <mergeCell ref="C4:L4"/>
    <mergeCell ref="T5:X6"/>
    <mergeCell ref="U72:V72"/>
    <mergeCell ref="U70:V70"/>
    <mergeCell ref="U71:V71"/>
    <mergeCell ref="Q71:T71"/>
    <mergeCell ref="A76:B76"/>
    <mergeCell ref="C76:F76"/>
    <mergeCell ref="M76:N76"/>
    <mergeCell ref="O76:R76"/>
    <mergeCell ref="I76:L76"/>
    <mergeCell ref="G75:H75"/>
    <mergeCell ref="I75:L75"/>
    <mergeCell ref="I72:M72"/>
    <mergeCell ref="I73:V73"/>
    <mergeCell ref="A74:X74"/>
    <mergeCell ref="C70:F73"/>
    <mergeCell ref="G70:H70"/>
    <mergeCell ref="G71:H73"/>
    <mergeCell ref="Q70:T70"/>
    <mergeCell ref="Q72:T72"/>
    <mergeCell ref="R77:X77"/>
    <mergeCell ref="S76:T76"/>
    <mergeCell ref="M75:N75"/>
    <mergeCell ref="O75:R75"/>
    <mergeCell ref="O77:Q77"/>
    <mergeCell ref="S75:T75"/>
    <mergeCell ref="U76:X76"/>
    <mergeCell ref="U75:X75"/>
    <mergeCell ref="M69:N69"/>
    <mergeCell ref="C66:N66"/>
    <mergeCell ref="I69:J69"/>
    <mergeCell ref="K68:L68"/>
    <mergeCell ref="C67:F69"/>
    <mergeCell ref="I68:J68"/>
    <mergeCell ref="K69:L69"/>
  </mergeCells>
  <dataValidations count="10">
    <dataValidation type="list" allowBlank="1" showInputMessage="1" showErrorMessage="1" sqref="J79 M58:N58">
      <formula1>"有,無"</formula1>
    </dataValidation>
    <dataValidation type="list" allowBlank="1" showInputMessage="1" showErrorMessage="1" sqref="C57:V57">
      <formula1>pdm配合飼料加入状況</formula1>
    </dataValidation>
    <dataValidation type="list" allowBlank="1" showInputMessage="1" showErrorMessage="1" sqref="O64:R64 O66">
      <formula1>"○,"</formula1>
    </dataValidation>
    <dataValidation type="list" allowBlank="1" showInputMessage="1" showErrorMessage="1" sqref="D83:F83">
      <formula1>"問題あり,問題なし"</formula1>
    </dataValidation>
    <dataValidation type="list" allowBlank="1" showInputMessage="1" showErrorMessage="1" sqref="E21:F21">
      <formula1>"5,6,7"</formula1>
    </dataValidation>
    <dataValidation type="list" allowBlank="1" showInputMessage="1" showErrorMessage="1" sqref="S66:V66 G69:V69 O65:V65 S64:V64">
      <formula1>"○"</formula1>
    </dataValidation>
    <dataValidation type="list" allowBlank="1" showInputMessage="1" showErrorMessage="1" sqref="C4:L4">
      <formula1>pdm借受者区分</formula1>
    </dataValidation>
    <dataValidation type="list" allowBlank="1" showInputMessage="1" showErrorMessage="1" sqref="E24:X24">
      <formula1>pdm機械名</formula1>
    </dataValidation>
    <dataValidation type="list" allowBlank="1" showInputMessage="1" showErrorMessage="1" sqref="E25:X25">
      <formula1>pdm銘柄</formula1>
    </dataValidation>
    <dataValidation type="list" allowBlank="1" showInputMessage="1" showErrorMessage="1" sqref="E37:X38">
      <formula1>pdm成果目標</formula1>
    </dataValidation>
  </dataValidations>
  <printOptions horizontalCentered="1"/>
  <pageMargins left="0.5118110236220472" right="0.4724409448818898" top="0.4" bottom="0.31496062992125984" header="0.4" footer="0.31496062992125984"/>
  <pageSetup horizontalDpi="72" verticalDpi="72" orientation="portrait" paperSize="9" scale="70" r:id="rId4"/>
  <rowBreaks count="1" manualBreakCount="1">
    <brk id="38"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tYoshiki20"/>
  <dimension ref="A1:U200"/>
  <sheetViews>
    <sheetView view="pageBreakPreview" zoomScaleSheetLayoutView="100" zoomScalePageLayoutView="0" workbookViewId="0" topLeftCell="A1">
      <selection activeCell="E24" sqref="E24"/>
    </sheetView>
  </sheetViews>
  <sheetFormatPr defaultColWidth="6.00390625" defaultRowHeight="16.5" customHeight="1"/>
  <cols>
    <col min="1" max="1" width="9.25390625" style="1" customWidth="1"/>
    <col min="2" max="2" width="6.00390625" style="1" customWidth="1"/>
    <col min="3" max="17" width="5.625" style="1" customWidth="1"/>
    <col min="18" max="19" width="6.00390625" style="1" customWidth="1"/>
    <col min="20" max="20" width="8.125" style="229" bestFit="1" customWidth="1"/>
    <col min="21" max="16384" width="6.00390625" style="1" customWidth="1"/>
  </cols>
  <sheetData>
    <row r="1" spans="1:17" ht="16.5" customHeight="1">
      <c r="A1" s="1" t="s">
        <v>167</v>
      </c>
      <c r="N1" s="655">
        <f>申請月日</f>
        <v>0</v>
      </c>
      <c r="O1" s="655"/>
      <c r="P1" s="655"/>
      <c r="Q1" s="655"/>
    </row>
    <row r="2" spans="1:17" ht="19.5" customHeight="1">
      <c r="A2" s="680" t="s">
        <v>168</v>
      </c>
      <c r="B2" s="680"/>
      <c r="C2" s="680"/>
      <c r="D2" s="680"/>
      <c r="E2" s="680"/>
      <c r="F2" s="680"/>
      <c r="G2" s="680"/>
      <c r="H2" s="680"/>
      <c r="I2" s="680"/>
      <c r="J2" s="680"/>
      <c r="K2" s="680"/>
      <c r="L2" s="680"/>
      <c r="M2" s="680"/>
      <c r="N2" s="680"/>
      <c r="O2" s="680"/>
      <c r="P2" s="680"/>
      <c r="Q2" s="680"/>
    </row>
    <row r="3" spans="1:17" ht="16.5" customHeight="1">
      <c r="A3" s="205"/>
      <c r="B3" s="205"/>
      <c r="C3" s="205"/>
      <c r="D3" s="676" t="s">
        <v>169</v>
      </c>
      <c r="E3" s="670"/>
      <c r="F3" s="677" t="str">
        <f>事業名</f>
        <v>畜産排水対策緊急支援事業</v>
      </c>
      <c r="G3" s="677"/>
      <c r="H3" s="677"/>
      <c r="I3" s="677"/>
      <c r="J3" s="677"/>
      <c r="K3" s="677"/>
      <c r="L3" s="677"/>
      <c r="M3" s="677"/>
      <c r="N3" s="217" t="s">
        <v>127</v>
      </c>
      <c r="O3" s="205"/>
      <c r="P3" s="205"/>
      <c r="Q3" s="205"/>
    </row>
    <row r="4" spans="1:8" ht="16.5" customHeight="1">
      <c r="A4" s="652">
        <f>借受団体_団体名</f>
        <v>0</v>
      </c>
      <c r="B4" s="652"/>
      <c r="C4" s="652"/>
      <c r="D4" s="652"/>
      <c r="E4" s="673"/>
      <c r="F4" s="673"/>
      <c r="G4" s="673"/>
      <c r="H4" s="673"/>
    </row>
    <row r="5" spans="1:21" ht="16.5" customHeight="1">
      <c r="A5" s="652">
        <f>借受団体_代表者区分</f>
        <v>0</v>
      </c>
      <c r="B5" s="652"/>
      <c r="C5" s="652"/>
      <c r="D5" s="652"/>
      <c r="E5" s="652">
        <f>借受団体_代表者名</f>
        <v>0</v>
      </c>
      <c r="F5" s="652"/>
      <c r="G5" s="652"/>
      <c r="H5" s="652"/>
      <c r="I5" s="1" t="s">
        <v>1130</v>
      </c>
      <c r="U5" s="236"/>
    </row>
    <row r="7" spans="1:17" ht="16.5" customHeight="1">
      <c r="A7" s="672" t="s">
        <v>170</v>
      </c>
      <c r="B7" s="672"/>
      <c r="C7" s="672"/>
      <c r="D7" s="672"/>
      <c r="E7" s="672"/>
      <c r="F7" s="672"/>
      <c r="G7" s="672"/>
      <c r="H7" s="672"/>
      <c r="I7" s="672"/>
      <c r="J7" s="672"/>
      <c r="K7" s="672"/>
      <c r="L7" s="672"/>
      <c r="M7" s="672"/>
      <c r="N7" s="672"/>
      <c r="O7" s="672"/>
      <c r="P7" s="672"/>
      <c r="Q7" s="672"/>
    </row>
    <row r="8" spans="1:17" ht="16.5" customHeight="1">
      <c r="A8" s="672"/>
      <c r="B8" s="672"/>
      <c r="C8" s="672"/>
      <c r="D8" s="672"/>
      <c r="E8" s="672"/>
      <c r="F8" s="672"/>
      <c r="G8" s="672"/>
      <c r="H8" s="672"/>
      <c r="I8" s="672"/>
      <c r="J8" s="672"/>
      <c r="K8" s="672"/>
      <c r="L8" s="672"/>
      <c r="M8" s="672"/>
      <c r="N8" s="672"/>
      <c r="O8" s="672"/>
      <c r="P8" s="672"/>
      <c r="Q8" s="672"/>
    </row>
    <row r="9" spans="1:17" ht="16.5" customHeight="1">
      <c r="A9" s="672"/>
      <c r="B9" s="672"/>
      <c r="C9" s="672"/>
      <c r="D9" s="672"/>
      <c r="E9" s="672"/>
      <c r="F9" s="672"/>
      <c r="G9" s="672"/>
      <c r="H9" s="672"/>
      <c r="I9" s="672"/>
      <c r="J9" s="672"/>
      <c r="K9" s="672"/>
      <c r="L9" s="672"/>
      <c r="M9" s="672"/>
      <c r="N9" s="672"/>
      <c r="O9" s="672"/>
      <c r="P9" s="672"/>
      <c r="Q9" s="672"/>
    </row>
    <row r="10" spans="10:12" ht="16.5" customHeight="1">
      <c r="J10" s="671" t="s">
        <v>1133</v>
      </c>
      <c r="K10" s="671"/>
      <c r="L10" s="671"/>
    </row>
    <row r="11" spans="10:17" ht="16.5" customHeight="1">
      <c r="J11" s="670" t="s">
        <v>1131</v>
      </c>
      <c r="K11" s="670"/>
      <c r="L11" s="673">
        <f>住所_住所</f>
        <v>0</v>
      </c>
      <c r="M11" s="673"/>
      <c r="N11" s="673"/>
      <c r="O11" s="673"/>
      <c r="P11" s="673"/>
      <c r="Q11" s="673"/>
    </row>
    <row r="12" spans="10:17" ht="16.5" customHeight="1">
      <c r="J12" s="670" t="s">
        <v>666</v>
      </c>
      <c r="K12" s="670"/>
      <c r="L12" s="673">
        <f>借受者名_漢字</f>
        <v>0</v>
      </c>
      <c r="M12" s="673"/>
      <c r="N12" s="673"/>
      <c r="O12" s="673"/>
      <c r="P12" s="673"/>
      <c r="Q12" s="652" t="s">
        <v>1134</v>
      </c>
    </row>
    <row r="13" spans="10:17" ht="16.5" customHeight="1">
      <c r="J13" s="670" t="s">
        <v>667</v>
      </c>
      <c r="K13" s="670"/>
      <c r="L13" s="673">
        <f>T(代表者名_漢字)</f>
      </c>
      <c r="M13" s="673"/>
      <c r="N13" s="673"/>
      <c r="O13" s="673"/>
      <c r="P13" s="673"/>
      <c r="Q13" s="673"/>
    </row>
    <row r="14" spans="1:17" ht="16.5" customHeight="1">
      <c r="A14" s="676" t="s">
        <v>1135</v>
      </c>
      <c r="B14" s="676"/>
      <c r="C14" s="676"/>
      <c r="D14" s="676"/>
      <c r="E14" s="676"/>
      <c r="F14" s="676"/>
      <c r="G14" s="676"/>
      <c r="H14" s="676"/>
      <c r="I14" s="676"/>
      <c r="J14" s="676"/>
      <c r="K14" s="676"/>
      <c r="L14" s="676"/>
      <c r="M14" s="676"/>
      <c r="N14" s="676"/>
      <c r="O14" s="676"/>
      <c r="P14" s="676"/>
      <c r="Q14" s="676"/>
    </row>
    <row r="15" spans="1:20" s="21" customFormat="1" ht="16.5" customHeight="1">
      <c r="A15" s="8" t="s">
        <v>171</v>
      </c>
      <c r="B15" s="8"/>
      <c r="C15" s="8"/>
      <c r="D15" s="8"/>
      <c r="E15" s="8"/>
      <c r="F15" s="8"/>
      <c r="G15" s="8"/>
      <c r="H15" s="8"/>
      <c r="I15" s="8"/>
      <c r="J15" s="8"/>
      <c r="K15" s="8"/>
      <c r="L15" s="8"/>
      <c r="M15" s="8"/>
      <c r="N15" s="8"/>
      <c r="O15" s="8"/>
      <c r="P15" s="8"/>
      <c r="Q15" s="8"/>
      <c r="T15" s="230"/>
    </row>
    <row r="16" spans="1:20" s="21" customFormat="1" ht="16.5" customHeight="1">
      <c r="A16" s="703" t="s">
        <v>1228</v>
      </c>
      <c r="B16" s="704"/>
      <c r="C16" s="258" t="s">
        <v>220</v>
      </c>
      <c r="D16" s="266">
        <f>IF(現状_家畜飼養状況_乳牛=0,"",現状_家畜飼養状況_乳牛)</f>
      </c>
      <c r="E16" s="267" t="s">
        <v>221</v>
      </c>
      <c r="F16" s="268" t="s">
        <v>222</v>
      </c>
      <c r="G16" s="266">
        <f>IF(現状_家畜飼養状況_肉牛=0,"",現状_家畜飼養状況_肉牛)</f>
      </c>
      <c r="H16" s="267" t="s">
        <v>221</v>
      </c>
      <c r="I16" s="268" t="s">
        <v>223</v>
      </c>
      <c r="J16" s="266">
        <f>IF(現状_家畜飼養状況_肉豚=0,"",現状_家畜飼養状況_肉豚)</f>
      </c>
      <c r="K16" s="267" t="s">
        <v>221</v>
      </c>
      <c r="L16" s="268" t="s">
        <v>224</v>
      </c>
      <c r="M16" s="266">
        <f>IF(現状_家畜飼養状況_採卵鶏=0,"",現状_家畜飼養状況_採卵鶏)</f>
      </c>
      <c r="N16" s="267" t="s">
        <v>225</v>
      </c>
      <c r="O16" s="268" t="s">
        <v>226</v>
      </c>
      <c r="P16" s="266">
        <f>IF(現状_家畜飼養状況_ブロイラー=0,"",現状_家畜飼養状況_ブロイラー)</f>
      </c>
      <c r="Q16" s="269" t="s">
        <v>225</v>
      </c>
      <c r="T16" s="230"/>
    </row>
    <row r="17" spans="1:17" ht="16.5" customHeight="1">
      <c r="A17" s="712" t="s">
        <v>172</v>
      </c>
      <c r="B17" s="713"/>
      <c r="C17" s="259" t="s">
        <v>1136</v>
      </c>
      <c r="D17" s="270">
        <f>IF(現状_家畜飼養状況_乳牛_委託=0,"",現状_家畜飼養状況_乳牛_委託)</f>
      </c>
      <c r="E17" s="271" t="s">
        <v>1137</v>
      </c>
      <c r="F17" s="263" t="s">
        <v>1224</v>
      </c>
      <c r="G17" s="270">
        <f>IF(現状_家畜飼養状況_肉牛_委託=0,"",現状_家畜飼養状況_肉牛_委託)</f>
      </c>
      <c r="H17" s="271" t="s">
        <v>1137</v>
      </c>
      <c r="I17" s="263" t="s">
        <v>1227</v>
      </c>
      <c r="J17" s="270">
        <f>IF(現状_家畜飼養状況_肉豚_委託=0,"",現状_家畜飼養状況_肉豚_委託)</f>
      </c>
      <c r="K17" s="271" t="s">
        <v>1137</v>
      </c>
      <c r="L17" s="263" t="s">
        <v>1225</v>
      </c>
      <c r="M17" s="270">
        <f>IF(現状_家畜飼養状況_採卵鶏_委託=0,"",現状_家畜飼養状況_採卵鶏_委託)</f>
      </c>
      <c r="N17" s="271" t="s">
        <v>1226</v>
      </c>
      <c r="O17" s="263" t="s">
        <v>128</v>
      </c>
      <c r="P17" s="270">
        <f>IF(現状_家畜飼養状況_ブロイラー_委託=0,"",現状_家畜飼養状況_ブロイラー_委託)</f>
      </c>
      <c r="Q17" s="264" t="s">
        <v>1226</v>
      </c>
    </row>
    <row r="18" spans="1:17" ht="16.5" customHeight="1">
      <c r="A18" s="714" t="s">
        <v>1229</v>
      </c>
      <c r="B18" s="715"/>
      <c r="C18" s="272" t="s">
        <v>227</v>
      </c>
      <c r="D18" s="273">
        <f>IF(現状_飼料畑_田=0,"",現状_飼料畑_田)</f>
      </c>
      <c r="E18" s="274">
        <f>IF(現状_飼料畑_田借受=0,"",現状_飼料畑_田借受)</f>
      </c>
      <c r="F18" s="275" t="s">
        <v>228</v>
      </c>
      <c r="G18" s="276" t="s">
        <v>229</v>
      </c>
      <c r="H18" s="273">
        <f>IF(現状_飼料畑_畑=0,"",現状_飼料畑_畑)</f>
      </c>
      <c r="I18" s="274">
        <f>IF(現状_飼料畑_畑借受=0,"",現状_飼料畑_畑借受)</f>
      </c>
      <c r="J18" s="275" t="s">
        <v>228</v>
      </c>
      <c r="K18" s="276" t="s">
        <v>230</v>
      </c>
      <c r="L18" s="273">
        <f>IF(現状_飼料畑_草地=0,"",現状_飼料畑_草地)</f>
      </c>
      <c r="M18" s="274">
        <f>IF(現状_飼料畑_草地借受=0,"",現状_飼料畑_草地借受)</f>
      </c>
      <c r="N18" s="277" t="s">
        <v>228</v>
      </c>
      <c r="O18" s="278"/>
      <c r="P18" s="278"/>
      <c r="Q18" s="278"/>
    </row>
    <row r="19" spans="1:17" ht="16.5" customHeight="1">
      <c r="A19" s="711" t="s">
        <v>311</v>
      </c>
      <c r="B19" s="711"/>
      <c r="C19" s="711"/>
      <c r="D19" s="711"/>
      <c r="E19" s="711"/>
      <c r="F19" s="711"/>
      <c r="G19" s="711"/>
      <c r="H19" s="711"/>
      <c r="I19" s="711"/>
      <c r="J19" s="711"/>
      <c r="K19" s="711"/>
      <c r="L19" s="711"/>
      <c r="M19" s="711"/>
      <c r="N19" s="711"/>
      <c r="O19" s="711"/>
      <c r="P19" s="711"/>
      <c r="Q19" s="711"/>
    </row>
    <row r="20" spans="1:17" ht="16.5" customHeight="1">
      <c r="A20" s="711" t="s">
        <v>173</v>
      </c>
      <c r="B20" s="711"/>
      <c r="C20" s="711"/>
      <c r="D20" s="711"/>
      <c r="E20" s="711"/>
      <c r="F20" s="711"/>
      <c r="G20" s="711"/>
      <c r="H20" s="711"/>
      <c r="I20" s="711"/>
      <c r="J20" s="711"/>
      <c r="K20" s="711"/>
      <c r="L20" s="711"/>
      <c r="M20" s="711"/>
      <c r="N20" s="711"/>
      <c r="O20" s="711"/>
      <c r="P20" s="711"/>
      <c r="Q20" s="711"/>
    </row>
    <row r="21" spans="1:17" ht="16.5" customHeight="1">
      <c r="A21" s="8" t="s">
        <v>787</v>
      </c>
      <c r="B21" s="8"/>
      <c r="C21" s="8"/>
      <c r="D21" s="8"/>
      <c r="E21" s="8"/>
      <c r="F21" s="8"/>
      <c r="G21" s="8"/>
      <c r="H21" s="8"/>
      <c r="I21" s="8"/>
      <c r="J21" s="8"/>
      <c r="K21" s="8"/>
      <c r="L21" s="8"/>
      <c r="M21" s="8"/>
      <c r="N21" s="8"/>
      <c r="O21" s="8"/>
      <c r="P21" s="8"/>
      <c r="Q21" s="8"/>
    </row>
    <row r="22" spans="1:17" ht="16.5" customHeight="1">
      <c r="A22" s="279" t="s">
        <v>231</v>
      </c>
      <c r="B22" s="656">
        <f>機械1_機械区分</f>
      </c>
      <c r="C22" s="657"/>
      <c r="D22" s="657"/>
      <c r="E22" s="657"/>
      <c r="F22" s="657"/>
      <c r="G22" s="657"/>
      <c r="H22" s="657"/>
      <c r="I22" s="657"/>
      <c r="J22" s="656" t="s">
        <v>232</v>
      </c>
      <c r="K22" s="657"/>
      <c r="L22" s="656" t="s">
        <v>233</v>
      </c>
      <c r="M22" s="657"/>
      <c r="N22" s="656" t="s">
        <v>234</v>
      </c>
      <c r="O22" s="657"/>
      <c r="P22" s="656" t="s">
        <v>235</v>
      </c>
      <c r="Q22" s="710"/>
    </row>
    <row r="23" spans="1:20" s="2" customFormat="1" ht="16.5" customHeight="1">
      <c r="A23" s="280" t="s">
        <v>236</v>
      </c>
      <c r="B23" s="702">
        <f>機械1_機械名</f>
        <v>0</v>
      </c>
      <c r="C23" s="702"/>
      <c r="D23" s="702"/>
      <c r="E23" s="650"/>
      <c r="F23" s="650"/>
      <c r="G23" s="650"/>
      <c r="H23" s="650"/>
      <c r="I23" s="650"/>
      <c r="J23" s="700">
        <f>機械1_見積価格</f>
        <v>0</v>
      </c>
      <c r="K23" s="701"/>
      <c r="L23" s="660">
        <f>J23/1000</f>
        <v>0</v>
      </c>
      <c r="M23" s="661"/>
      <c r="N23" s="660">
        <f>ROUNDDOWN(J23/3,-3)/1000</f>
        <v>0</v>
      </c>
      <c r="O23" s="661"/>
      <c r="P23" s="660">
        <f>L23-N23</f>
        <v>0</v>
      </c>
      <c r="Q23" s="662"/>
      <c r="T23" s="231"/>
    </row>
    <row r="24" spans="1:20" s="2" customFormat="1" ht="16.5" customHeight="1">
      <c r="A24" s="280" t="s">
        <v>237</v>
      </c>
      <c r="B24" s="653">
        <f>機械1_銘柄</f>
        <v>0</v>
      </c>
      <c r="C24" s="654"/>
      <c r="D24" s="654"/>
      <c r="E24" s="265" t="s">
        <v>238</v>
      </c>
      <c r="F24" s="653">
        <f>機械1_形式</f>
        <v>0</v>
      </c>
      <c r="G24" s="654"/>
      <c r="H24" s="654"/>
      <c r="I24" s="654"/>
      <c r="J24" s="648" t="s">
        <v>239</v>
      </c>
      <c r="K24" s="649"/>
      <c r="L24" s="648">
        <f>機械1_現地納入業者_名称</f>
        <v>0</v>
      </c>
      <c r="M24" s="650"/>
      <c r="N24" s="650"/>
      <c r="O24" s="650"/>
      <c r="P24" s="650"/>
      <c r="Q24" s="651"/>
      <c r="T24" s="231"/>
    </row>
    <row r="25" spans="1:20" s="2" customFormat="1" ht="16.5" customHeight="1">
      <c r="A25" s="280" t="s">
        <v>240</v>
      </c>
      <c r="B25" s="646">
        <f>機械1_設置場所</f>
        <v>0</v>
      </c>
      <c r="C25" s="647"/>
      <c r="D25" s="647"/>
      <c r="E25" s="647"/>
      <c r="F25" s="647"/>
      <c r="G25" s="647"/>
      <c r="H25" s="647"/>
      <c r="I25" s="647"/>
      <c r="J25" s="648" t="s">
        <v>241</v>
      </c>
      <c r="K25" s="649"/>
      <c r="L25" s="648">
        <f>機械1_現地納入業者_所在地</f>
        <v>0</v>
      </c>
      <c r="M25" s="650"/>
      <c r="N25" s="650"/>
      <c r="O25" s="650"/>
      <c r="P25" s="650"/>
      <c r="Q25" s="651"/>
      <c r="T25" s="231"/>
    </row>
    <row r="26" spans="1:20" s="5" customFormat="1" ht="16.5" customHeight="1">
      <c r="A26" s="705"/>
      <c r="B26" s="706"/>
      <c r="C26" s="706"/>
      <c r="D26" s="706"/>
      <c r="E26" s="706"/>
      <c r="F26" s="706"/>
      <c r="G26" s="706"/>
      <c r="H26" s="706"/>
      <c r="I26" s="706"/>
      <c r="J26" s="707" t="s">
        <v>242</v>
      </c>
      <c r="K26" s="708"/>
      <c r="L26" s="707">
        <f>機械1_現地納入業者_電話番号</f>
        <v>0</v>
      </c>
      <c r="M26" s="706"/>
      <c r="N26" s="706"/>
      <c r="O26" s="706"/>
      <c r="P26" s="706"/>
      <c r="Q26" s="709"/>
      <c r="T26" s="232"/>
    </row>
    <row r="27" spans="1:20" s="5" customFormat="1" ht="16.5" customHeight="1">
      <c r="A27" s="683" t="s">
        <v>837</v>
      </c>
      <c r="B27" s="683"/>
      <c r="C27" s="683"/>
      <c r="D27" s="683"/>
      <c r="E27" s="683"/>
      <c r="F27" s="683"/>
      <c r="G27" s="683"/>
      <c r="H27" s="683"/>
      <c r="I27" s="683"/>
      <c r="J27" s="683"/>
      <c r="K27" s="683"/>
      <c r="L27" s="683"/>
      <c r="M27" s="683"/>
      <c r="N27" s="683"/>
      <c r="O27" s="683"/>
      <c r="P27" s="683"/>
      <c r="Q27" s="683"/>
      <c r="T27" s="232"/>
    </row>
    <row r="28" spans="1:20" s="173" customFormat="1" ht="16.5" customHeight="1">
      <c r="A28" s="684"/>
      <c r="B28" s="684"/>
      <c r="C28" s="684"/>
      <c r="D28" s="684"/>
      <c r="E28" s="684"/>
      <c r="F28" s="684"/>
      <c r="G28" s="684"/>
      <c r="H28" s="684"/>
      <c r="I28" s="684"/>
      <c r="J28" s="684"/>
      <c r="K28" s="684"/>
      <c r="L28" s="684"/>
      <c r="M28" s="684"/>
      <c r="N28" s="684"/>
      <c r="O28" s="684"/>
      <c r="P28" s="684"/>
      <c r="Q28" s="684"/>
      <c r="T28" s="233"/>
    </row>
    <row r="29" spans="1:20" s="173" customFormat="1" ht="16.5" customHeight="1">
      <c r="A29" s="181" t="s">
        <v>174</v>
      </c>
      <c r="B29" s="182"/>
      <c r="C29" s="182"/>
      <c r="D29" s="182"/>
      <c r="E29" s="182"/>
      <c r="F29" s="182"/>
      <c r="G29" s="182"/>
      <c r="H29" s="182"/>
      <c r="I29" s="182"/>
      <c r="J29" s="182"/>
      <c r="K29" s="182"/>
      <c r="L29" s="182"/>
      <c r="M29" s="182"/>
      <c r="N29" s="182"/>
      <c r="O29" s="182"/>
      <c r="P29" s="182"/>
      <c r="Q29" s="182"/>
      <c r="T29" s="233"/>
    </row>
    <row r="30" spans="1:20" s="173" customFormat="1" ht="16.5" customHeight="1">
      <c r="A30" s="685">
        <f>T(機械1_成果目標1)</f>
      </c>
      <c r="B30" s="686"/>
      <c r="C30" s="686"/>
      <c r="D30" s="686"/>
      <c r="E30" s="686"/>
      <c r="F30" s="686"/>
      <c r="G30" s="686"/>
      <c r="H30" s="686"/>
      <c r="I30" s="686"/>
      <c r="J30" s="686"/>
      <c r="K30" s="686"/>
      <c r="L30" s="686"/>
      <c r="M30" s="686"/>
      <c r="N30" s="686"/>
      <c r="O30" s="686"/>
      <c r="P30" s="686"/>
      <c r="Q30" s="687"/>
      <c r="T30" s="233"/>
    </row>
    <row r="31" spans="1:20" s="173" customFormat="1" ht="16.5" customHeight="1">
      <c r="A31" s="688">
        <f>T(機械1_成果目標2)</f>
      </c>
      <c r="B31" s="689"/>
      <c r="C31" s="689"/>
      <c r="D31" s="689"/>
      <c r="E31" s="689"/>
      <c r="F31" s="689"/>
      <c r="G31" s="689"/>
      <c r="H31" s="689"/>
      <c r="I31" s="689"/>
      <c r="J31" s="689"/>
      <c r="K31" s="689"/>
      <c r="L31" s="689"/>
      <c r="M31" s="689"/>
      <c r="N31" s="689"/>
      <c r="O31" s="689"/>
      <c r="P31" s="689"/>
      <c r="Q31" s="690"/>
      <c r="T31" s="233"/>
    </row>
    <row r="32" spans="1:20" s="173" customFormat="1" ht="16.5" customHeight="1">
      <c r="A32" s="227" t="s">
        <v>175</v>
      </c>
      <c r="B32" s="227"/>
      <c r="C32" s="227"/>
      <c r="D32" s="227"/>
      <c r="E32" s="227"/>
      <c r="F32" s="227"/>
      <c r="G32" s="227"/>
      <c r="H32" s="227"/>
      <c r="I32" s="227"/>
      <c r="J32" s="227"/>
      <c r="K32" s="227"/>
      <c r="L32" s="227"/>
      <c r="M32" s="227"/>
      <c r="N32" s="227"/>
      <c r="O32" s="227"/>
      <c r="P32" s="227"/>
      <c r="Q32" s="227"/>
      <c r="T32" s="233"/>
    </row>
    <row r="33" spans="1:20" s="173" customFormat="1" ht="16.5" customHeight="1">
      <c r="A33" s="691">
        <f>機械1_機械を必要とする理由</f>
        <v>0</v>
      </c>
      <c r="B33" s="692"/>
      <c r="C33" s="692"/>
      <c r="D33" s="692"/>
      <c r="E33" s="692"/>
      <c r="F33" s="692"/>
      <c r="G33" s="692"/>
      <c r="H33" s="692"/>
      <c r="I33" s="692"/>
      <c r="J33" s="692"/>
      <c r="K33" s="692"/>
      <c r="L33" s="692"/>
      <c r="M33" s="692"/>
      <c r="N33" s="692"/>
      <c r="O33" s="692"/>
      <c r="P33" s="692"/>
      <c r="Q33" s="693"/>
      <c r="T33" s="233"/>
    </row>
    <row r="34" spans="1:20" s="173" customFormat="1" ht="16.5" customHeight="1">
      <c r="A34" s="694"/>
      <c r="B34" s="695"/>
      <c r="C34" s="695"/>
      <c r="D34" s="695"/>
      <c r="E34" s="695"/>
      <c r="F34" s="695"/>
      <c r="G34" s="695"/>
      <c r="H34" s="695"/>
      <c r="I34" s="695"/>
      <c r="J34" s="695"/>
      <c r="K34" s="695"/>
      <c r="L34" s="695"/>
      <c r="M34" s="695"/>
      <c r="N34" s="695"/>
      <c r="O34" s="695"/>
      <c r="P34" s="695"/>
      <c r="Q34" s="696"/>
      <c r="T34" s="233"/>
    </row>
    <row r="35" spans="1:20" s="173" customFormat="1" ht="16.5" customHeight="1">
      <c r="A35" s="697"/>
      <c r="B35" s="698"/>
      <c r="C35" s="698"/>
      <c r="D35" s="698"/>
      <c r="E35" s="698"/>
      <c r="F35" s="698"/>
      <c r="G35" s="698"/>
      <c r="H35" s="698"/>
      <c r="I35" s="698"/>
      <c r="J35" s="698"/>
      <c r="K35" s="698"/>
      <c r="L35" s="698"/>
      <c r="M35" s="698"/>
      <c r="N35" s="698"/>
      <c r="O35" s="698"/>
      <c r="P35" s="698"/>
      <c r="Q35" s="699"/>
      <c r="T35" s="233"/>
    </row>
    <row r="36" spans="1:20" s="173" customFormat="1" ht="16.5" customHeight="1">
      <c r="A36" s="8" t="s">
        <v>176</v>
      </c>
      <c r="B36" s="8"/>
      <c r="C36" s="8"/>
      <c r="D36" s="8"/>
      <c r="E36" s="8"/>
      <c r="F36" s="8"/>
      <c r="G36" s="8"/>
      <c r="H36" s="8"/>
      <c r="I36" s="8"/>
      <c r="J36" s="8"/>
      <c r="K36" s="8"/>
      <c r="L36" s="8"/>
      <c r="M36" s="8"/>
      <c r="N36" s="8"/>
      <c r="O36" s="8"/>
      <c r="P36" s="8"/>
      <c r="Q36" s="8"/>
      <c r="T36" s="233"/>
    </row>
    <row r="37" spans="1:20" s="173" customFormat="1" ht="16.5" customHeight="1">
      <c r="A37" s="663" t="s">
        <v>1142</v>
      </c>
      <c r="B37" s="664"/>
      <c r="C37" s="665">
        <f>借受団体_団体名</f>
        <v>0</v>
      </c>
      <c r="D37" s="665"/>
      <c r="E37" s="665"/>
      <c r="F37" s="665"/>
      <c r="G37" s="665"/>
      <c r="H37" s="665"/>
      <c r="I37" s="666"/>
      <c r="J37" s="184" t="s">
        <v>33</v>
      </c>
      <c r="K37" s="665" t="s">
        <v>129</v>
      </c>
      <c r="L37" s="665"/>
      <c r="M37" s="665"/>
      <c r="N37" s="665"/>
      <c r="O37" s="665"/>
      <c r="P37" s="666"/>
      <c r="Q37" s="282" t="s">
        <v>1144</v>
      </c>
      <c r="T37" s="233"/>
    </row>
    <row r="38" spans="1:20" s="22" customFormat="1" ht="16.5" customHeight="1">
      <c r="A38" s="658" t="s">
        <v>177</v>
      </c>
      <c r="B38" s="659"/>
      <c r="C38" s="667">
        <f>借受団体_住所</f>
        <v>0</v>
      </c>
      <c r="D38" s="668"/>
      <c r="E38" s="668"/>
      <c r="F38" s="668"/>
      <c r="G38" s="668"/>
      <c r="H38" s="668"/>
      <c r="I38" s="669"/>
      <c r="J38" s="228" t="s">
        <v>178</v>
      </c>
      <c r="K38" s="668" t="s">
        <v>130</v>
      </c>
      <c r="L38" s="668"/>
      <c r="M38" s="668"/>
      <c r="N38" s="668"/>
      <c r="O38" s="668"/>
      <c r="P38" s="669"/>
      <c r="Q38" s="681">
        <f>リース期間</f>
        <v>5</v>
      </c>
      <c r="T38" s="234"/>
    </row>
    <row r="39" spans="1:17" ht="16.5" customHeight="1">
      <c r="A39" s="678" t="s">
        <v>1143</v>
      </c>
      <c r="B39" s="679"/>
      <c r="C39" s="674">
        <f>借受団体_電話番号</f>
        <v>0</v>
      </c>
      <c r="D39" s="674"/>
      <c r="E39" s="674"/>
      <c r="F39" s="674"/>
      <c r="G39" s="674"/>
      <c r="H39" s="674"/>
      <c r="I39" s="675"/>
      <c r="J39" s="185" t="s">
        <v>838</v>
      </c>
      <c r="K39" s="674" t="s">
        <v>131</v>
      </c>
      <c r="L39" s="674"/>
      <c r="M39" s="674"/>
      <c r="N39" s="674"/>
      <c r="O39" s="674"/>
      <c r="P39" s="675"/>
      <c r="Q39" s="682"/>
    </row>
    <row r="40" spans="1:20" s="8" customFormat="1" ht="15" customHeight="1">
      <c r="A40" s="8" t="s">
        <v>179</v>
      </c>
      <c r="T40" s="235"/>
    </row>
    <row r="41" spans="1:20" s="8" customFormat="1" ht="15" customHeight="1">
      <c r="A41" s="8" t="s">
        <v>180</v>
      </c>
      <c r="J41" s="8" t="s">
        <v>181</v>
      </c>
      <c r="T41" s="235"/>
    </row>
    <row r="42" spans="1:20" s="8" customFormat="1" ht="15" customHeight="1">
      <c r="A42" s="66" t="s">
        <v>132</v>
      </c>
      <c r="B42" s="66"/>
      <c r="C42" s="66"/>
      <c r="D42" s="66"/>
      <c r="E42" s="66"/>
      <c r="F42" s="66"/>
      <c r="G42" s="66"/>
      <c r="H42" s="66"/>
      <c r="I42" s="66"/>
      <c r="J42" s="8" t="s">
        <v>182</v>
      </c>
      <c r="P42" s="66"/>
      <c r="Q42" s="66"/>
      <c r="T42" s="235"/>
    </row>
    <row r="43" spans="1:20" s="8" customFormat="1" ht="15" customHeight="1">
      <c r="A43" s="66" t="s">
        <v>133</v>
      </c>
      <c r="B43" s="66"/>
      <c r="C43" s="66"/>
      <c r="D43" s="66"/>
      <c r="E43" s="66"/>
      <c r="F43" s="66"/>
      <c r="G43" s="66"/>
      <c r="H43" s="66"/>
      <c r="I43" s="66"/>
      <c r="J43" s="66" t="s">
        <v>134</v>
      </c>
      <c r="K43" s="66"/>
      <c r="L43" s="66"/>
      <c r="M43" s="66"/>
      <c r="N43" s="66"/>
      <c r="O43" s="66"/>
      <c r="P43" s="66"/>
      <c r="Q43" s="66"/>
      <c r="T43" s="235"/>
    </row>
    <row r="44" spans="1:17" ht="16.5" customHeight="1">
      <c r="A44" s="66" t="s">
        <v>135</v>
      </c>
      <c r="B44" s="66"/>
      <c r="C44" s="66"/>
      <c r="D44" s="66"/>
      <c r="E44" s="66"/>
      <c r="F44" s="66"/>
      <c r="G44" s="66"/>
      <c r="H44" s="66"/>
      <c r="I44" s="66"/>
      <c r="J44" s="66" t="s">
        <v>183</v>
      </c>
      <c r="K44" s="66"/>
      <c r="L44" s="66"/>
      <c r="M44" s="66"/>
      <c r="N44" s="66"/>
      <c r="O44" s="66"/>
      <c r="P44" s="66"/>
      <c r="Q44" s="66"/>
    </row>
    <row r="45" spans="1:17" ht="16.5" customHeight="1">
      <c r="A45" s="66" t="s">
        <v>136</v>
      </c>
      <c r="B45" s="66"/>
      <c r="C45" s="66"/>
      <c r="D45" s="66"/>
      <c r="E45" s="66"/>
      <c r="F45" s="66"/>
      <c r="G45" s="66"/>
      <c r="H45" s="66"/>
      <c r="I45" s="66"/>
      <c r="J45" s="66" t="s">
        <v>184</v>
      </c>
      <c r="K45" s="66"/>
      <c r="L45" s="66"/>
      <c r="M45" s="66"/>
      <c r="N45" s="66"/>
      <c r="O45" s="66"/>
      <c r="P45" s="66"/>
      <c r="Q45" s="66"/>
    </row>
    <row r="46" spans="1:17" ht="16.5" customHeight="1">
      <c r="A46" s="66" t="s">
        <v>185</v>
      </c>
      <c r="B46" s="66"/>
      <c r="C46" s="66"/>
      <c r="D46" s="66"/>
      <c r="E46" s="66"/>
      <c r="F46" s="66"/>
      <c r="G46" s="66"/>
      <c r="H46" s="66"/>
      <c r="I46" s="66"/>
      <c r="J46" s="66" t="s">
        <v>186</v>
      </c>
      <c r="K46" s="66"/>
      <c r="L46" s="66"/>
      <c r="M46" s="66"/>
      <c r="N46" s="66"/>
      <c r="O46" s="66"/>
      <c r="P46" s="66"/>
      <c r="Q46" s="66"/>
    </row>
    <row r="47" spans="1:17" ht="16.5" customHeight="1">
      <c r="A47" s="66" t="s">
        <v>187</v>
      </c>
      <c r="B47" s="66"/>
      <c r="C47" s="66"/>
      <c r="D47" s="66"/>
      <c r="E47" s="66"/>
      <c r="F47" s="66"/>
      <c r="G47" s="66"/>
      <c r="H47" s="66"/>
      <c r="I47" s="66"/>
      <c r="J47" s="66" t="s">
        <v>188</v>
      </c>
      <c r="K47" s="66"/>
      <c r="L47" s="66"/>
      <c r="M47" s="66"/>
      <c r="N47" s="66"/>
      <c r="O47" s="66"/>
      <c r="P47" s="66"/>
      <c r="Q47" s="66"/>
    </row>
    <row r="48" spans="1:17" ht="16.5" customHeight="1">
      <c r="A48" s="8" t="s">
        <v>189</v>
      </c>
      <c r="B48" s="66"/>
      <c r="C48" s="66"/>
      <c r="D48" s="66"/>
      <c r="E48" s="66"/>
      <c r="F48" s="66"/>
      <c r="G48" s="66"/>
      <c r="H48" s="66"/>
      <c r="I48" s="66"/>
      <c r="J48" s="66" t="s">
        <v>190</v>
      </c>
      <c r="K48" s="66"/>
      <c r="L48" s="66"/>
      <c r="M48" s="66"/>
      <c r="N48" s="66"/>
      <c r="O48" s="66"/>
      <c r="P48" s="66"/>
      <c r="Q48" s="66"/>
    </row>
    <row r="49" spans="1:17" ht="16.5" customHeight="1">
      <c r="A49" s="66"/>
      <c r="B49" s="66"/>
      <c r="C49" s="66"/>
      <c r="D49" s="66"/>
      <c r="E49" s="66"/>
      <c r="F49" s="66"/>
      <c r="G49" s="66"/>
      <c r="H49" s="66"/>
      <c r="I49" s="66"/>
      <c r="J49" s="66"/>
      <c r="K49" s="66"/>
      <c r="L49" s="66"/>
      <c r="M49" s="66"/>
      <c r="N49" s="66"/>
      <c r="O49" s="66"/>
      <c r="P49" s="66"/>
      <c r="Q49" s="66"/>
    </row>
    <row r="50" spans="1:17" ht="16.5" customHeight="1">
      <c r="A50" s="652" t="s">
        <v>758</v>
      </c>
      <c r="B50" s="652"/>
      <c r="C50" s="652"/>
      <c r="D50" s="652"/>
      <c r="E50" s="652"/>
      <c r="F50" s="652"/>
      <c r="G50" s="652"/>
      <c r="H50" s="652"/>
      <c r="I50" s="652"/>
      <c r="J50" s="652"/>
      <c r="K50" s="652"/>
      <c r="L50" s="652"/>
      <c r="M50" s="652"/>
      <c r="N50" s="652"/>
      <c r="O50" s="652"/>
      <c r="P50" s="652"/>
      <c r="Q50" s="652"/>
    </row>
    <row r="51" spans="1:17" ht="16.5" customHeight="1">
      <c r="A51" s="1" t="s">
        <v>246</v>
      </c>
      <c r="N51" s="655">
        <f>申請月日</f>
        <v>0</v>
      </c>
      <c r="O51" s="655"/>
      <c r="P51" s="655"/>
      <c r="Q51" s="655"/>
    </row>
    <row r="52" spans="1:17" ht="19.5" customHeight="1">
      <c r="A52" s="680" t="s">
        <v>168</v>
      </c>
      <c r="B52" s="680"/>
      <c r="C52" s="680"/>
      <c r="D52" s="680"/>
      <c r="E52" s="680"/>
      <c r="F52" s="680"/>
      <c r="G52" s="680"/>
      <c r="H52" s="680"/>
      <c r="I52" s="680"/>
      <c r="J52" s="680"/>
      <c r="K52" s="680"/>
      <c r="L52" s="680"/>
      <c r="M52" s="680"/>
      <c r="N52" s="680"/>
      <c r="O52" s="680"/>
      <c r="P52" s="680"/>
      <c r="Q52" s="680"/>
    </row>
    <row r="53" spans="1:17" ht="16.5" customHeight="1">
      <c r="A53" s="205"/>
      <c r="B53" s="205"/>
      <c r="C53" s="205"/>
      <c r="D53" s="676" t="s">
        <v>247</v>
      </c>
      <c r="E53" s="670"/>
      <c r="F53" s="677" t="str">
        <f>事業名</f>
        <v>畜産排水対策緊急支援事業</v>
      </c>
      <c r="G53" s="677"/>
      <c r="H53" s="677"/>
      <c r="I53" s="677"/>
      <c r="J53" s="677"/>
      <c r="K53" s="677"/>
      <c r="L53" s="677"/>
      <c r="M53" s="677"/>
      <c r="N53" s="217" t="s">
        <v>248</v>
      </c>
      <c r="O53" s="205"/>
      <c r="P53" s="205"/>
      <c r="Q53" s="205"/>
    </row>
    <row r="54" spans="1:8" ht="16.5" customHeight="1">
      <c r="A54" s="652">
        <f>借受団体_団体名</f>
        <v>0</v>
      </c>
      <c r="B54" s="652"/>
      <c r="C54" s="652"/>
      <c r="D54" s="652"/>
      <c r="E54" s="673"/>
      <c r="F54" s="673"/>
      <c r="G54" s="673"/>
      <c r="H54" s="673"/>
    </row>
    <row r="55" spans="1:9" ht="16.5" customHeight="1">
      <c r="A55" s="652">
        <f>借受団体_代表者区分</f>
        <v>0</v>
      </c>
      <c r="B55" s="652"/>
      <c r="C55" s="652"/>
      <c r="D55" s="652"/>
      <c r="E55" s="652">
        <f>借受団体_代表者名</f>
        <v>0</v>
      </c>
      <c r="F55" s="652"/>
      <c r="G55" s="652"/>
      <c r="H55" s="652"/>
      <c r="I55" s="1" t="s">
        <v>249</v>
      </c>
    </row>
    <row r="57" spans="1:17" ht="16.5" customHeight="1">
      <c r="A57" s="672" t="s">
        <v>250</v>
      </c>
      <c r="B57" s="672"/>
      <c r="C57" s="672"/>
      <c r="D57" s="672"/>
      <c r="E57" s="672"/>
      <c r="F57" s="672"/>
      <c r="G57" s="672"/>
      <c r="H57" s="672"/>
      <c r="I57" s="672"/>
      <c r="J57" s="672"/>
      <c r="K57" s="672"/>
      <c r="L57" s="672"/>
      <c r="M57" s="672"/>
      <c r="N57" s="672"/>
      <c r="O57" s="672"/>
      <c r="P57" s="672"/>
      <c r="Q57" s="672"/>
    </row>
    <row r="58" spans="1:17" ht="16.5" customHeight="1">
      <c r="A58" s="672"/>
      <c r="B58" s="672"/>
      <c r="C58" s="672"/>
      <c r="D58" s="672"/>
      <c r="E58" s="672"/>
      <c r="F58" s="672"/>
      <c r="G58" s="672"/>
      <c r="H58" s="672"/>
      <c r="I58" s="672"/>
      <c r="J58" s="672"/>
      <c r="K58" s="672"/>
      <c r="L58" s="672"/>
      <c r="M58" s="672"/>
      <c r="N58" s="672"/>
      <c r="O58" s="672"/>
      <c r="P58" s="672"/>
      <c r="Q58" s="672"/>
    </row>
    <row r="59" spans="1:17" ht="16.5" customHeight="1">
      <c r="A59" s="672"/>
      <c r="B59" s="672"/>
      <c r="C59" s="672"/>
      <c r="D59" s="672"/>
      <c r="E59" s="672"/>
      <c r="F59" s="672"/>
      <c r="G59" s="672"/>
      <c r="H59" s="672"/>
      <c r="I59" s="672"/>
      <c r="J59" s="672"/>
      <c r="K59" s="672"/>
      <c r="L59" s="672"/>
      <c r="M59" s="672"/>
      <c r="N59" s="672"/>
      <c r="O59" s="672"/>
      <c r="P59" s="672"/>
      <c r="Q59" s="672"/>
    </row>
    <row r="60" spans="10:12" ht="16.5" customHeight="1">
      <c r="J60" s="671" t="s">
        <v>251</v>
      </c>
      <c r="K60" s="671"/>
      <c r="L60" s="671"/>
    </row>
    <row r="61" spans="10:17" ht="16.5" customHeight="1">
      <c r="J61" s="670" t="s">
        <v>252</v>
      </c>
      <c r="K61" s="670"/>
      <c r="L61" s="673">
        <f>住所_住所</f>
        <v>0</v>
      </c>
      <c r="M61" s="673"/>
      <c r="N61" s="673"/>
      <c r="O61" s="673"/>
      <c r="P61" s="673"/>
      <c r="Q61" s="673"/>
    </row>
    <row r="62" spans="10:17" ht="16.5" customHeight="1">
      <c r="J62" s="670" t="s">
        <v>253</v>
      </c>
      <c r="K62" s="670"/>
      <c r="L62" s="673">
        <f>借受者名_漢字</f>
        <v>0</v>
      </c>
      <c r="M62" s="673"/>
      <c r="N62" s="673"/>
      <c r="O62" s="673"/>
      <c r="P62" s="673"/>
      <c r="Q62" s="652" t="s">
        <v>860</v>
      </c>
    </row>
    <row r="63" spans="10:17" ht="16.5" customHeight="1">
      <c r="J63" s="670" t="s">
        <v>254</v>
      </c>
      <c r="K63" s="670"/>
      <c r="L63" s="673">
        <f>T(代表者名_漢字)</f>
      </c>
      <c r="M63" s="673"/>
      <c r="N63" s="673"/>
      <c r="O63" s="673"/>
      <c r="P63" s="673"/>
      <c r="Q63" s="673"/>
    </row>
    <row r="64" spans="1:17" ht="16.5" customHeight="1">
      <c r="A64" s="676" t="s">
        <v>255</v>
      </c>
      <c r="B64" s="676"/>
      <c r="C64" s="676"/>
      <c r="D64" s="676"/>
      <c r="E64" s="676"/>
      <c r="F64" s="676"/>
      <c r="G64" s="676"/>
      <c r="H64" s="676"/>
      <c r="I64" s="676"/>
      <c r="J64" s="676"/>
      <c r="K64" s="676"/>
      <c r="L64" s="676"/>
      <c r="M64" s="676"/>
      <c r="N64" s="676"/>
      <c r="O64" s="676"/>
      <c r="P64" s="676"/>
      <c r="Q64" s="676"/>
    </row>
    <row r="65" spans="1:20" s="21" customFormat="1" ht="16.5" customHeight="1">
      <c r="A65" s="8" t="s">
        <v>256</v>
      </c>
      <c r="B65" s="8"/>
      <c r="C65" s="8"/>
      <c r="D65" s="8"/>
      <c r="E65" s="8"/>
      <c r="F65" s="8"/>
      <c r="G65" s="8"/>
      <c r="H65" s="8"/>
      <c r="I65" s="8"/>
      <c r="J65" s="8"/>
      <c r="K65" s="8"/>
      <c r="L65" s="8"/>
      <c r="M65" s="8"/>
      <c r="N65" s="8"/>
      <c r="O65" s="8"/>
      <c r="P65" s="8"/>
      <c r="Q65" s="8"/>
      <c r="T65" s="230"/>
    </row>
    <row r="66" spans="1:20" s="21" customFormat="1" ht="16.5" customHeight="1">
      <c r="A66" s="703" t="s">
        <v>1228</v>
      </c>
      <c r="B66" s="704"/>
      <c r="C66" s="218" t="s">
        <v>220</v>
      </c>
      <c r="D66" s="219">
        <f>IF(現状_家畜飼養状況_乳牛=0,"",現状_家畜飼養状況_乳牛)</f>
      </c>
      <c r="E66" s="220" t="s">
        <v>221</v>
      </c>
      <c r="F66" s="221" t="s">
        <v>222</v>
      </c>
      <c r="G66" s="219">
        <f>IF(現状_家畜飼養状況_肉牛=0,"",現状_家畜飼養状況_肉牛)</f>
      </c>
      <c r="H66" s="220" t="s">
        <v>221</v>
      </c>
      <c r="I66" s="221" t="s">
        <v>223</v>
      </c>
      <c r="J66" s="219">
        <f>IF(現状_家畜飼養状況_肉豚=0,"",現状_家畜飼養状況_肉豚)</f>
      </c>
      <c r="K66" s="220" t="s">
        <v>221</v>
      </c>
      <c r="L66" s="221" t="s">
        <v>224</v>
      </c>
      <c r="M66" s="219">
        <f>IF(現状_家畜飼養状況_採卵鶏=0,"",現状_家畜飼養状況_採卵鶏)</f>
      </c>
      <c r="N66" s="220" t="s">
        <v>225</v>
      </c>
      <c r="O66" s="221" t="s">
        <v>226</v>
      </c>
      <c r="P66" s="219">
        <f>IF(現状_家畜飼養状況_ブロイラー=0,"",現状_家畜飼養状況_ブロイラー)</f>
      </c>
      <c r="Q66" s="222" t="s">
        <v>225</v>
      </c>
      <c r="T66" s="230"/>
    </row>
    <row r="67" spans="1:17" ht="16.5" customHeight="1">
      <c r="A67" s="712" t="s">
        <v>172</v>
      </c>
      <c r="B67" s="713"/>
      <c r="C67" s="223" t="s">
        <v>1136</v>
      </c>
      <c r="D67" s="237">
        <f>IF(現状_家畜飼養状況_乳牛_委託=0,"",現状_家畜飼養状況_乳牛_委託)</f>
      </c>
      <c r="E67" s="224" t="s">
        <v>1137</v>
      </c>
      <c r="F67" s="225" t="s">
        <v>1224</v>
      </c>
      <c r="G67" s="237">
        <f>IF(現状_家畜飼養状況_肉牛_委託=0,"",現状_家畜飼養状況_肉牛_委託)</f>
      </c>
      <c r="H67" s="224" t="s">
        <v>1137</v>
      </c>
      <c r="I67" s="225" t="s">
        <v>1227</v>
      </c>
      <c r="J67" s="237">
        <f>IF(現状_家畜飼養状況_肉豚_委託=0,"",現状_家畜飼養状況_肉豚_委託)</f>
      </c>
      <c r="K67" s="224" t="s">
        <v>1137</v>
      </c>
      <c r="L67" s="225" t="s">
        <v>1225</v>
      </c>
      <c r="M67" s="237">
        <f>IF(現状_家畜飼養状況_採卵鶏_委託=0,"",現状_家畜飼養状況_採卵鶏_委託)</f>
      </c>
      <c r="N67" s="224" t="s">
        <v>1226</v>
      </c>
      <c r="O67" s="225" t="s">
        <v>128</v>
      </c>
      <c r="P67" s="237">
        <f>IF(現状_家畜飼養状況_ブロイラー_委託=0,"",現状_家畜飼養状況_ブロイラー_委託)</f>
      </c>
      <c r="Q67" s="226" t="s">
        <v>1226</v>
      </c>
    </row>
    <row r="68" spans="1:17" ht="16.5" customHeight="1">
      <c r="A68" s="716" t="s">
        <v>1229</v>
      </c>
      <c r="B68" s="717"/>
      <c r="C68" s="177" t="s">
        <v>227</v>
      </c>
      <c r="D68" s="176">
        <f>IF(現状_飼料畑_田=0,"",現状_飼料畑_田)</f>
      </c>
      <c r="E68" s="175">
        <f>IF(現状_飼料畑_田借受=0,"",現状_飼料畑_田借受)</f>
      </c>
      <c r="F68" s="172" t="s">
        <v>228</v>
      </c>
      <c r="G68" s="183" t="s">
        <v>229</v>
      </c>
      <c r="H68" s="176">
        <f>IF(現状_飼料畑_畑=0,"",現状_飼料畑_畑)</f>
      </c>
      <c r="I68" s="175">
        <f>IF(現状_飼料畑_畑借受=0,"",現状_飼料畑_畑借受)</f>
      </c>
      <c r="J68" s="172" t="s">
        <v>228</v>
      </c>
      <c r="K68" s="183" t="s">
        <v>230</v>
      </c>
      <c r="L68" s="176">
        <f>IF(現状_飼料畑_草地=0,"",現状_飼料畑_草地)</f>
      </c>
      <c r="M68" s="175">
        <f>IF(現状_飼料畑_草地借受=0,"",現状_飼料畑_草地借受)</f>
      </c>
      <c r="N68" s="174" t="s">
        <v>228</v>
      </c>
      <c r="O68" s="9"/>
      <c r="P68" s="9"/>
      <c r="Q68" s="9"/>
    </row>
    <row r="69" spans="1:17" ht="16.5" customHeight="1">
      <c r="A69" s="711" t="s">
        <v>311</v>
      </c>
      <c r="B69" s="711"/>
      <c r="C69" s="711"/>
      <c r="D69" s="711"/>
      <c r="E69" s="711"/>
      <c r="F69" s="711"/>
      <c r="G69" s="711"/>
      <c r="H69" s="711"/>
      <c r="I69" s="711"/>
      <c r="J69" s="711"/>
      <c r="K69" s="711"/>
      <c r="L69" s="711"/>
      <c r="M69" s="711"/>
      <c r="N69" s="711"/>
      <c r="O69" s="711"/>
      <c r="P69" s="711"/>
      <c r="Q69" s="711"/>
    </row>
    <row r="70" spans="1:17" ht="16.5" customHeight="1">
      <c r="A70" s="711" t="s">
        <v>257</v>
      </c>
      <c r="B70" s="711"/>
      <c r="C70" s="711"/>
      <c r="D70" s="711"/>
      <c r="E70" s="711"/>
      <c r="F70" s="711"/>
      <c r="G70" s="711"/>
      <c r="H70" s="711"/>
      <c r="I70" s="711"/>
      <c r="J70" s="711"/>
      <c r="K70" s="711"/>
      <c r="L70" s="711"/>
      <c r="M70" s="711"/>
      <c r="N70" s="711"/>
      <c r="O70" s="711"/>
      <c r="P70" s="711"/>
      <c r="Q70" s="711"/>
    </row>
    <row r="71" spans="1:17" ht="16.5" customHeight="1">
      <c r="A71" s="8" t="s">
        <v>137</v>
      </c>
      <c r="B71" s="8"/>
      <c r="C71" s="8"/>
      <c r="D71" s="8"/>
      <c r="E71" s="8"/>
      <c r="F71" s="8"/>
      <c r="G71" s="8"/>
      <c r="H71" s="8"/>
      <c r="I71" s="8"/>
      <c r="J71" s="8"/>
      <c r="K71" s="8"/>
      <c r="L71" s="8"/>
      <c r="M71" s="8"/>
      <c r="N71" s="8"/>
      <c r="O71" s="8"/>
      <c r="P71" s="8"/>
      <c r="Q71" s="8"/>
    </row>
    <row r="72" spans="1:17" ht="16.5" customHeight="1">
      <c r="A72" s="279" t="s">
        <v>231</v>
      </c>
      <c r="B72" s="656">
        <f>機械2_機械区分</f>
      </c>
      <c r="C72" s="657"/>
      <c r="D72" s="657"/>
      <c r="E72" s="657"/>
      <c r="F72" s="657"/>
      <c r="G72" s="657"/>
      <c r="H72" s="657"/>
      <c r="I72" s="657"/>
      <c r="J72" s="656" t="s">
        <v>232</v>
      </c>
      <c r="K72" s="657"/>
      <c r="L72" s="656" t="s">
        <v>233</v>
      </c>
      <c r="M72" s="657"/>
      <c r="N72" s="656" t="s">
        <v>234</v>
      </c>
      <c r="O72" s="657"/>
      <c r="P72" s="656" t="s">
        <v>235</v>
      </c>
      <c r="Q72" s="710"/>
    </row>
    <row r="73" spans="1:20" s="2" customFormat="1" ht="16.5" customHeight="1">
      <c r="A73" s="280" t="s">
        <v>236</v>
      </c>
      <c r="B73" s="702">
        <f>機械2_機械名</f>
        <v>0</v>
      </c>
      <c r="C73" s="702"/>
      <c r="D73" s="702"/>
      <c r="E73" s="650"/>
      <c r="F73" s="650"/>
      <c r="G73" s="650"/>
      <c r="H73" s="650"/>
      <c r="I73" s="650"/>
      <c r="J73" s="700">
        <f>機械2_見積価格</f>
        <v>0</v>
      </c>
      <c r="K73" s="701"/>
      <c r="L73" s="660">
        <f>J73/1000</f>
        <v>0</v>
      </c>
      <c r="M73" s="661"/>
      <c r="N73" s="660">
        <f>ROUNDDOWN(J73/3,-3)/1000</f>
        <v>0</v>
      </c>
      <c r="O73" s="661"/>
      <c r="P73" s="660">
        <f>L73-N73</f>
        <v>0</v>
      </c>
      <c r="Q73" s="662"/>
      <c r="T73" s="231"/>
    </row>
    <row r="74" spans="1:20" s="2" customFormat="1" ht="16.5" customHeight="1">
      <c r="A74" s="280" t="s">
        <v>237</v>
      </c>
      <c r="B74" s="653">
        <f>機械2_銘柄</f>
        <v>0</v>
      </c>
      <c r="C74" s="654"/>
      <c r="D74" s="654"/>
      <c r="E74" s="265" t="s">
        <v>238</v>
      </c>
      <c r="F74" s="653">
        <f>機械2_形式</f>
        <v>0</v>
      </c>
      <c r="G74" s="654"/>
      <c r="H74" s="654"/>
      <c r="I74" s="654"/>
      <c r="J74" s="648" t="s">
        <v>239</v>
      </c>
      <c r="K74" s="649"/>
      <c r="L74" s="648">
        <f>機械2_現地納入業者_名称</f>
        <v>0</v>
      </c>
      <c r="M74" s="650"/>
      <c r="N74" s="650"/>
      <c r="O74" s="650"/>
      <c r="P74" s="650"/>
      <c r="Q74" s="651"/>
      <c r="T74" s="231"/>
    </row>
    <row r="75" spans="1:20" s="2" customFormat="1" ht="16.5" customHeight="1">
      <c r="A75" s="280" t="s">
        <v>240</v>
      </c>
      <c r="B75" s="646">
        <f>機械2_設置場所</f>
        <v>0</v>
      </c>
      <c r="C75" s="647"/>
      <c r="D75" s="647"/>
      <c r="E75" s="647"/>
      <c r="F75" s="647"/>
      <c r="G75" s="647"/>
      <c r="H75" s="647"/>
      <c r="I75" s="647"/>
      <c r="J75" s="648" t="s">
        <v>241</v>
      </c>
      <c r="K75" s="649"/>
      <c r="L75" s="648">
        <f>機械2_現地納入業者_所在地</f>
        <v>0</v>
      </c>
      <c r="M75" s="650"/>
      <c r="N75" s="650"/>
      <c r="O75" s="650"/>
      <c r="P75" s="650"/>
      <c r="Q75" s="651"/>
      <c r="T75" s="231"/>
    </row>
    <row r="76" spans="1:20" s="5" customFormat="1" ht="16.5" customHeight="1">
      <c r="A76" s="705"/>
      <c r="B76" s="706"/>
      <c r="C76" s="706"/>
      <c r="D76" s="706"/>
      <c r="E76" s="706"/>
      <c r="F76" s="706"/>
      <c r="G76" s="706"/>
      <c r="H76" s="706"/>
      <c r="I76" s="706"/>
      <c r="J76" s="707" t="s">
        <v>242</v>
      </c>
      <c r="K76" s="708"/>
      <c r="L76" s="707">
        <f>機械2_現地納入業者_電話番号</f>
        <v>0</v>
      </c>
      <c r="M76" s="706"/>
      <c r="N76" s="706"/>
      <c r="O76" s="706"/>
      <c r="P76" s="706"/>
      <c r="Q76" s="709"/>
      <c r="T76" s="232"/>
    </row>
    <row r="77" spans="1:20" s="5" customFormat="1" ht="16.5" customHeight="1">
      <c r="A77" s="683" t="s">
        <v>258</v>
      </c>
      <c r="B77" s="683"/>
      <c r="C77" s="683"/>
      <c r="D77" s="683"/>
      <c r="E77" s="683"/>
      <c r="F77" s="683"/>
      <c r="G77" s="683"/>
      <c r="H77" s="683"/>
      <c r="I77" s="683"/>
      <c r="J77" s="683"/>
      <c r="K77" s="683"/>
      <c r="L77" s="683"/>
      <c r="M77" s="683"/>
      <c r="N77" s="683"/>
      <c r="O77" s="683"/>
      <c r="P77" s="683"/>
      <c r="Q77" s="683"/>
      <c r="T77" s="232"/>
    </row>
    <row r="78" spans="1:20" s="173" customFormat="1" ht="16.5" customHeight="1">
      <c r="A78" s="684"/>
      <c r="B78" s="684"/>
      <c r="C78" s="684"/>
      <c r="D78" s="684"/>
      <c r="E78" s="684"/>
      <c r="F78" s="684"/>
      <c r="G78" s="684"/>
      <c r="H78" s="684"/>
      <c r="I78" s="684"/>
      <c r="J78" s="684"/>
      <c r="K78" s="684"/>
      <c r="L78" s="684"/>
      <c r="M78" s="684"/>
      <c r="N78" s="684"/>
      <c r="O78" s="684"/>
      <c r="P78" s="684"/>
      <c r="Q78" s="684"/>
      <c r="T78" s="233"/>
    </row>
    <row r="79" spans="1:20" s="173" customFormat="1" ht="16.5" customHeight="1">
      <c r="A79" s="181" t="s">
        <v>259</v>
      </c>
      <c r="B79" s="182"/>
      <c r="C79" s="182"/>
      <c r="D79" s="182"/>
      <c r="E79" s="182"/>
      <c r="F79" s="182"/>
      <c r="G79" s="182"/>
      <c r="H79" s="182"/>
      <c r="I79" s="182"/>
      <c r="J79" s="182"/>
      <c r="K79" s="182"/>
      <c r="L79" s="182"/>
      <c r="M79" s="182"/>
      <c r="N79" s="182"/>
      <c r="O79" s="182"/>
      <c r="P79" s="182"/>
      <c r="Q79" s="182"/>
      <c r="T79" s="233"/>
    </row>
    <row r="80" spans="1:20" s="173" customFormat="1" ht="16.5" customHeight="1">
      <c r="A80" s="718">
        <f>T(機械2_成果目標1)</f>
      </c>
      <c r="B80" s="719"/>
      <c r="C80" s="719"/>
      <c r="D80" s="719"/>
      <c r="E80" s="719"/>
      <c r="F80" s="719"/>
      <c r="G80" s="719"/>
      <c r="H80" s="719"/>
      <c r="I80" s="719"/>
      <c r="J80" s="719"/>
      <c r="K80" s="719"/>
      <c r="L80" s="719"/>
      <c r="M80" s="719"/>
      <c r="N80" s="719"/>
      <c r="O80" s="719"/>
      <c r="P80" s="719"/>
      <c r="Q80" s="720"/>
      <c r="T80" s="233"/>
    </row>
    <row r="81" spans="1:20" s="173" customFormat="1" ht="16.5" customHeight="1">
      <c r="A81" s="721">
        <f>T(機械2_成果目標2)</f>
      </c>
      <c r="B81" s="722"/>
      <c r="C81" s="722"/>
      <c r="D81" s="722"/>
      <c r="E81" s="722"/>
      <c r="F81" s="722"/>
      <c r="G81" s="722"/>
      <c r="H81" s="722"/>
      <c r="I81" s="722"/>
      <c r="J81" s="722"/>
      <c r="K81" s="722"/>
      <c r="L81" s="722"/>
      <c r="M81" s="722"/>
      <c r="N81" s="722"/>
      <c r="O81" s="722"/>
      <c r="P81" s="722"/>
      <c r="Q81" s="723"/>
      <c r="T81" s="233"/>
    </row>
    <row r="82" spans="1:20" s="173" customFormat="1" ht="16.5" customHeight="1">
      <c r="A82" s="227" t="s">
        <v>260</v>
      </c>
      <c r="B82" s="227"/>
      <c r="C82" s="227"/>
      <c r="D82" s="227"/>
      <c r="E82" s="227"/>
      <c r="F82" s="227"/>
      <c r="G82" s="227"/>
      <c r="H82" s="227"/>
      <c r="I82" s="227"/>
      <c r="J82" s="227"/>
      <c r="K82" s="227"/>
      <c r="L82" s="227"/>
      <c r="M82" s="227"/>
      <c r="N82" s="227"/>
      <c r="O82" s="227"/>
      <c r="P82" s="227"/>
      <c r="Q82" s="227"/>
      <c r="T82" s="233"/>
    </row>
    <row r="83" spans="1:20" s="173" customFormat="1" ht="16.5" customHeight="1">
      <c r="A83" s="691">
        <f>機械2_機械を必要とする理由</f>
        <v>0</v>
      </c>
      <c r="B83" s="692"/>
      <c r="C83" s="692"/>
      <c r="D83" s="692"/>
      <c r="E83" s="692"/>
      <c r="F83" s="692"/>
      <c r="G83" s="692"/>
      <c r="H83" s="692"/>
      <c r="I83" s="692"/>
      <c r="J83" s="692"/>
      <c r="K83" s="692"/>
      <c r="L83" s="692"/>
      <c r="M83" s="692"/>
      <c r="N83" s="692"/>
      <c r="O83" s="692"/>
      <c r="P83" s="692"/>
      <c r="Q83" s="693"/>
      <c r="T83" s="233"/>
    </row>
    <row r="84" spans="1:20" s="173" customFormat="1" ht="16.5" customHeight="1">
      <c r="A84" s="694"/>
      <c r="B84" s="695"/>
      <c r="C84" s="695"/>
      <c r="D84" s="695"/>
      <c r="E84" s="695"/>
      <c r="F84" s="695"/>
      <c r="G84" s="695"/>
      <c r="H84" s="695"/>
      <c r="I84" s="695"/>
      <c r="J84" s="695"/>
      <c r="K84" s="695"/>
      <c r="L84" s="695"/>
      <c r="M84" s="695"/>
      <c r="N84" s="695"/>
      <c r="O84" s="695"/>
      <c r="P84" s="695"/>
      <c r="Q84" s="696"/>
      <c r="T84" s="233"/>
    </row>
    <row r="85" spans="1:20" s="173" customFormat="1" ht="16.5" customHeight="1">
      <c r="A85" s="697"/>
      <c r="B85" s="698"/>
      <c r="C85" s="698"/>
      <c r="D85" s="698"/>
      <c r="E85" s="698"/>
      <c r="F85" s="698"/>
      <c r="G85" s="698"/>
      <c r="H85" s="698"/>
      <c r="I85" s="698"/>
      <c r="J85" s="698"/>
      <c r="K85" s="698"/>
      <c r="L85" s="698"/>
      <c r="M85" s="698"/>
      <c r="N85" s="698"/>
      <c r="O85" s="698"/>
      <c r="P85" s="698"/>
      <c r="Q85" s="699"/>
      <c r="T85" s="233"/>
    </row>
    <row r="86" spans="1:20" s="173" customFormat="1" ht="16.5" customHeight="1">
      <c r="A86" s="66" t="s">
        <v>261</v>
      </c>
      <c r="B86" s="97"/>
      <c r="C86" s="97"/>
      <c r="D86" s="97"/>
      <c r="E86" s="97"/>
      <c r="F86" s="97"/>
      <c r="G86" s="97"/>
      <c r="H86" s="97"/>
      <c r="I86" s="97"/>
      <c r="J86" s="97"/>
      <c r="K86" s="97"/>
      <c r="L86" s="97"/>
      <c r="M86" s="97"/>
      <c r="N86" s="97"/>
      <c r="O86" s="97"/>
      <c r="P86" s="97"/>
      <c r="Q86" s="97"/>
      <c r="T86" s="233"/>
    </row>
    <row r="87" spans="1:20" s="173" customFormat="1" ht="16.5" customHeight="1">
      <c r="A87" s="663" t="s">
        <v>262</v>
      </c>
      <c r="B87" s="664"/>
      <c r="C87" s="665">
        <f>借受団体_団体名</f>
        <v>0</v>
      </c>
      <c r="D87" s="665"/>
      <c r="E87" s="665"/>
      <c r="F87" s="665"/>
      <c r="G87" s="665"/>
      <c r="H87" s="665"/>
      <c r="I87" s="666"/>
      <c r="J87" s="184" t="s">
        <v>263</v>
      </c>
      <c r="K87" s="665" t="s">
        <v>243</v>
      </c>
      <c r="L87" s="665"/>
      <c r="M87" s="665"/>
      <c r="N87" s="665"/>
      <c r="O87" s="665"/>
      <c r="P87" s="666"/>
      <c r="Q87" s="282" t="s">
        <v>264</v>
      </c>
      <c r="T87" s="233"/>
    </row>
    <row r="88" spans="1:20" s="22" customFormat="1" ht="16.5" customHeight="1">
      <c r="A88" s="658" t="s">
        <v>265</v>
      </c>
      <c r="B88" s="659"/>
      <c r="C88" s="667">
        <f>借受団体_住所</f>
        <v>0</v>
      </c>
      <c r="D88" s="668"/>
      <c r="E88" s="668"/>
      <c r="F88" s="668"/>
      <c r="G88" s="668"/>
      <c r="H88" s="668"/>
      <c r="I88" s="669"/>
      <c r="J88" s="228" t="s">
        <v>266</v>
      </c>
      <c r="K88" s="668" t="s">
        <v>244</v>
      </c>
      <c r="L88" s="668"/>
      <c r="M88" s="668"/>
      <c r="N88" s="668"/>
      <c r="O88" s="668"/>
      <c r="P88" s="669"/>
      <c r="Q88" s="681">
        <f>リース期間</f>
        <v>5</v>
      </c>
      <c r="T88" s="234"/>
    </row>
    <row r="89" spans="1:17" ht="16.5" customHeight="1">
      <c r="A89" s="678" t="s">
        <v>267</v>
      </c>
      <c r="B89" s="679"/>
      <c r="C89" s="674">
        <f>借受団体_電話番号</f>
        <v>0</v>
      </c>
      <c r="D89" s="674"/>
      <c r="E89" s="674"/>
      <c r="F89" s="674"/>
      <c r="G89" s="674"/>
      <c r="H89" s="674"/>
      <c r="I89" s="675"/>
      <c r="J89" s="185" t="s">
        <v>268</v>
      </c>
      <c r="K89" s="674" t="s">
        <v>245</v>
      </c>
      <c r="L89" s="674"/>
      <c r="M89" s="674"/>
      <c r="N89" s="674"/>
      <c r="O89" s="674"/>
      <c r="P89" s="675"/>
      <c r="Q89" s="682"/>
    </row>
    <row r="90" spans="1:20" s="8" customFormat="1" ht="15" customHeight="1">
      <c r="A90" s="8" t="s">
        <v>269</v>
      </c>
      <c r="T90" s="235"/>
    </row>
    <row r="91" spans="1:20" s="8" customFormat="1" ht="15" customHeight="1">
      <c r="A91" s="8" t="s">
        <v>270</v>
      </c>
      <c r="J91" s="8" t="s">
        <v>271</v>
      </c>
      <c r="T91" s="235"/>
    </row>
    <row r="92" spans="1:20" s="8" customFormat="1" ht="15" customHeight="1">
      <c r="A92" s="66" t="s">
        <v>272</v>
      </c>
      <c r="B92" s="66"/>
      <c r="C92" s="66"/>
      <c r="D92" s="66"/>
      <c r="E92" s="66"/>
      <c r="F92" s="66"/>
      <c r="G92" s="66"/>
      <c r="H92" s="66"/>
      <c r="I92" s="66"/>
      <c r="J92" s="8" t="s">
        <v>273</v>
      </c>
      <c r="P92" s="66"/>
      <c r="Q92" s="66"/>
      <c r="T92" s="235"/>
    </row>
    <row r="93" spans="1:20" s="8" customFormat="1" ht="15" customHeight="1">
      <c r="A93" s="66" t="s">
        <v>274</v>
      </c>
      <c r="B93" s="66"/>
      <c r="C93" s="66"/>
      <c r="D93" s="66"/>
      <c r="E93" s="66"/>
      <c r="F93" s="66"/>
      <c r="G93" s="66"/>
      <c r="H93" s="66"/>
      <c r="I93" s="66"/>
      <c r="J93" s="66" t="s">
        <v>275</v>
      </c>
      <c r="K93" s="66"/>
      <c r="L93" s="66"/>
      <c r="M93" s="66"/>
      <c r="N93" s="66"/>
      <c r="O93" s="66"/>
      <c r="P93" s="66"/>
      <c r="Q93" s="66"/>
      <c r="T93" s="235"/>
    </row>
    <row r="94" spans="1:17" ht="16.5" customHeight="1">
      <c r="A94" s="66" t="s">
        <v>276</v>
      </c>
      <c r="B94" s="66"/>
      <c r="C94" s="66"/>
      <c r="D94" s="66"/>
      <c r="E94" s="66"/>
      <c r="F94" s="66"/>
      <c r="G94" s="66"/>
      <c r="H94" s="66"/>
      <c r="I94" s="66"/>
      <c r="J94" s="66" t="s">
        <v>277</v>
      </c>
      <c r="K94" s="66"/>
      <c r="L94" s="66"/>
      <c r="M94" s="66"/>
      <c r="N94" s="66"/>
      <c r="O94" s="66"/>
      <c r="P94" s="66"/>
      <c r="Q94" s="66"/>
    </row>
    <row r="95" spans="1:17" ht="16.5" customHeight="1">
      <c r="A95" s="66" t="s">
        <v>278</v>
      </c>
      <c r="B95" s="66"/>
      <c r="C95" s="66"/>
      <c r="D95" s="66"/>
      <c r="E95" s="66"/>
      <c r="F95" s="66"/>
      <c r="G95" s="66"/>
      <c r="H95" s="66"/>
      <c r="I95" s="66"/>
      <c r="J95" s="66" t="s">
        <v>279</v>
      </c>
      <c r="K95" s="66"/>
      <c r="L95" s="66"/>
      <c r="M95" s="66"/>
      <c r="N95" s="66"/>
      <c r="O95" s="66"/>
      <c r="P95" s="66"/>
      <c r="Q95" s="66"/>
    </row>
    <row r="96" spans="1:17" ht="16.5" customHeight="1">
      <c r="A96" s="66" t="s">
        <v>280</v>
      </c>
      <c r="B96" s="66"/>
      <c r="C96" s="66"/>
      <c r="D96" s="66"/>
      <c r="E96" s="66"/>
      <c r="F96" s="66"/>
      <c r="G96" s="66"/>
      <c r="H96" s="66"/>
      <c r="I96" s="66"/>
      <c r="J96" s="66" t="s">
        <v>281</v>
      </c>
      <c r="K96" s="66"/>
      <c r="L96" s="66"/>
      <c r="M96" s="66"/>
      <c r="N96" s="66"/>
      <c r="O96" s="66"/>
      <c r="P96" s="66"/>
      <c r="Q96" s="66"/>
    </row>
    <row r="97" spans="1:17" ht="16.5" customHeight="1">
      <c r="A97" s="66" t="s">
        <v>282</v>
      </c>
      <c r="B97" s="66"/>
      <c r="C97" s="66"/>
      <c r="D97" s="66"/>
      <c r="E97" s="66"/>
      <c r="F97" s="66"/>
      <c r="G97" s="66"/>
      <c r="H97" s="66"/>
      <c r="I97" s="66"/>
      <c r="J97" s="66" t="s">
        <v>283</v>
      </c>
      <c r="K97" s="66"/>
      <c r="L97" s="66"/>
      <c r="M97" s="66"/>
      <c r="N97" s="66"/>
      <c r="O97" s="66"/>
      <c r="P97" s="66"/>
      <c r="Q97" s="66"/>
    </row>
    <row r="98" spans="1:17" ht="16.5" customHeight="1">
      <c r="A98" s="8" t="s">
        <v>284</v>
      </c>
      <c r="B98" s="66"/>
      <c r="C98" s="66"/>
      <c r="D98" s="66"/>
      <c r="E98" s="66"/>
      <c r="F98" s="66"/>
      <c r="G98" s="66"/>
      <c r="H98" s="66"/>
      <c r="I98" s="66"/>
      <c r="J98" s="66" t="s">
        <v>285</v>
      </c>
      <c r="K98" s="66"/>
      <c r="L98" s="66"/>
      <c r="M98" s="66"/>
      <c r="N98" s="66"/>
      <c r="O98" s="66"/>
      <c r="P98" s="66"/>
      <c r="Q98" s="66"/>
    </row>
    <row r="99" spans="1:17" ht="16.5" customHeight="1">
      <c r="A99" s="66"/>
      <c r="B99" s="66"/>
      <c r="C99" s="66"/>
      <c r="D99" s="66"/>
      <c r="E99" s="66"/>
      <c r="F99" s="66"/>
      <c r="G99" s="66"/>
      <c r="H99" s="66"/>
      <c r="I99" s="66"/>
      <c r="J99" s="66"/>
      <c r="K99" s="66"/>
      <c r="L99" s="66"/>
      <c r="M99" s="66"/>
      <c r="N99" s="66"/>
      <c r="O99" s="66"/>
      <c r="P99" s="66"/>
      <c r="Q99" s="66"/>
    </row>
    <row r="100" spans="1:17" ht="16.5" customHeight="1">
      <c r="A100" s="652" t="s">
        <v>286</v>
      </c>
      <c r="B100" s="652"/>
      <c r="C100" s="652"/>
      <c r="D100" s="652"/>
      <c r="E100" s="652"/>
      <c r="F100" s="652"/>
      <c r="G100" s="652"/>
      <c r="H100" s="652"/>
      <c r="I100" s="652"/>
      <c r="J100" s="652"/>
      <c r="K100" s="652"/>
      <c r="L100" s="652"/>
      <c r="M100" s="652"/>
      <c r="N100" s="652"/>
      <c r="O100" s="652"/>
      <c r="P100" s="652"/>
      <c r="Q100" s="652"/>
    </row>
    <row r="101" spans="1:17" ht="16.5" customHeight="1">
      <c r="A101" s="1" t="s">
        <v>246</v>
      </c>
      <c r="N101" s="655">
        <f>申請月日</f>
        <v>0</v>
      </c>
      <c r="O101" s="655"/>
      <c r="P101" s="655"/>
      <c r="Q101" s="655"/>
    </row>
    <row r="102" spans="1:17" ht="19.5" customHeight="1">
      <c r="A102" s="680" t="s">
        <v>168</v>
      </c>
      <c r="B102" s="680"/>
      <c r="C102" s="680"/>
      <c r="D102" s="680"/>
      <c r="E102" s="680"/>
      <c r="F102" s="680"/>
      <c r="G102" s="680"/>
      <c r="H102" s="680"/>
      <c r="I102" s="680"/>
      <c r="J102" s="680"/>
      <c r="K102" s="680"/>
      <c r="L102" s="680"/>
      <c r="M102" s="680"/>
      <c r="N102" s="680"/>
      <c r="O102" s="680"/>
      <c r="P102" s="680"/>
      <c r="Q102" s="680"/>
    </row>
    <row r="103" spans="1:17" ht="16.5" customHeight="1">
      <c r="A103" s="205"/>
      <c r="B103" s="205"/>
      <c r="C103" s="205"/>
      <c r="D103" s="676" t="s">
        <v>247</v>
      </c>
      <c r="E103" s="670"/>
      <c r="F103" s="677" t="str">
        <f>事業名</f>
        <v>畜産排水対策緊急支援事業</v>
      </c>
      <c r="G103" s="677"/>
      <c r="H103" s="677"/>
      <c r="I103" s="677"/>
      <c r="J103" s="677"/>
      <c r="K103" s="677"/>
      <c r="L103" s="677"/>
      <c r="M103" s="677"/>
      <c r="N103" s="217" t="s">
        <v>248</v>
      </c>
      <c r="O103" s="205"/>
      <c r="P103" s="205"/>
      <c r="Q103" s="205"/>
    </row>
    <row r="104" spans="1:8" ht="16.5" customHeight="1">
      <c r="A104" s="670">
        <f>借受団体_団体名</f>
        <v>0</v>
      </c>
      <c r="B104" s="670"/>
      <c r="C104" s="670"/>
      <c r="D104" s="670"/>
      <c r="E104" s="671"/>
      <c r="F104" s="671"/>
      <c r="G104" s="671"/>
      <c r="H104" s="671"/>
    </row>
    <row r="105" spans="1:9" ht="16.5" customHeight="1">
      <c r="A105" s="670">
        <f>借受団体_代表者区分</f>
        <v>0</v>
      </c>
      <c r="B105" s="670"/>
      <c r="C105" s="670"/>
      <c r="D105" s="670"/>
      <c r="E105" s="670">
        <f>借受団体_代表者名</f>
        <v>0</v>
      </c>
      <c r="F105" s="670"/>
      <c r="G105" s="670"/>
      <c r="H105" s="670"/>
      <c r="I105" s="1" t="s">
        <v>249</v>
      </c>
    </row>
    <row r="107" spans="1:17" ht="16.5" customHeight="1">
      <c r="A107" s="672" t="s">
        <v>250</v>
      </c>
      <c r="B107" s="672"/>
      <c r="C107" s="672"/>
      <c r="D107" s="672"/>
      <c r="E107" s="672"/>
      <c r="F107" s="672"/>
      <c r="G107" s="672"/>
      <c r="H107" s="672"/>
      <c r="I107" s="672"/>
      <c r="J107" s="672"/>
      <c r="K107" s="672"/>
      <c r="L107" s="672"/>
      <c r="M107" s="672"/>
      <c r="N107" s="672"/>
      <c r="O107" s="672"/>
      <c r="P107" s="672"/>
      <c r="Q107" s="672"/>
    </row>
    <row r="108" spans="1:17" ht="16.5" customHeight="1">
      <c r="A108" s="672"/>
      <c r="B108" s="672"/>
      <c r="C108" s="672"/>
      <c r="D108" s="672"/>
      <c r="E108" s="672"/>
      <c r="F108" s="672"/>
      <c r="G108" s="672"/>
      <c r="H108" s="672"/>
      <c r="I108" s="672"/>
      <c r="J108" s="672"/>
      <c r="K108" s="672"/>
      <c r="L108" s="672"/>
      <c r="M108" s="672"/>
      <c r="N108" s="672"/>
      <c r="O108" s="672"/>
      <c r="P108" s="672"/>
      <c r="Q108" s="672"/>
    </row>
    <row r="109" spans="1:17" ht="16.5" customHeight="1">
      <c r="A109" s="672"/>
      <c r="B109" s="672"/>
      <c r="C109" s="672"/>
      <c r="D109" s="672"/>
      <c r="E109" s="672"/>
      <c r="F109" s="672"/>
      <c r="G109" s="672"/>
      <c r="H109" s="672"/>
      <c r="I109" s="672"/>
      <c r="J109" s="672"/>
      <c r="K109" s="672"/>
      <c r="L109" s="672"/>
      <c r="M109" s="672"/>
      <c r="N109" s="672"/>
      <c r="O109" s="672"/>
      <c r="P109" s="672"/>
      <c r="Q109" s="672"/>
    </row>
    <row r="110" spans="10:12" ht="16.5" customHeight="1">
      <c r="J110" s="671" t="s">
        <v>251</v>
      </c>
      <c r="K110" s="671"/>
      <c r="L110" s="671"/>
    </row>
    <row r="111" spans="10:17" ht="16.5" customHeight="1">
      <c r="J111" s="670" t="s">
        <v>252</v>
      </c>
      <c r="K111" s="670"/>
      <c r="L111" s="673">
        <f>住所_住所</f>
        <v>0</v>
      </c>
      <c r="M111" s="673"/>
      <c r="N111" s="673"/>
      <c r="O111" s="673"/>
      <c r="P111" s="673"/>
      <c r="Q111" s="673"/>
    </row>
    <row r="112" spans="10:17" ht="16.5" customHeight="1">
      <c r="J112" s="670" t="s">
        <v>253</v>
      </c>
      <c r="K112" s="670"/>
      <c r="L112" s="673">
        <f>借受者名_漢字</f>
        <v>0</v>
      </c>
      <c r="M112" s="673"/>
      <c r="N112" s="673"/>
      <c r="O112" s="673"/>
      <c r="P112" s="673"/>
      <c r="Q112" s="652" t="s">
        <v>860</v>
      </c>
    </row>
    <row r="113" spans="10:17" ht="16.5" customHeight="1">
      <c r="J113" s="670" t="s">
        <v>254</v>
      </c>
      <c r="K113" s="670"/>
      <c r="L113" s="673">
        <f>T(代表者名_漢字)</f>
      </c>
      <c r="M113" s="673"/>
      <c r="N113" s="673"/>
      <c r="O113" s="673"/>
      <c r="P113" s="673"/>
      <c r="Q113" s="673"/>
    </row>
    <row r="114" spans="1:17" ht="16.5" customHeight="1">
      <c r="A114" s="676" t="s">
        <v>255</v>
      </c>
      <c r="B114" s="676"/>
      <c r="C114" s="676"/>
      <c r="D114" s="676"/>
      <c r="E114" s="676"/>
      <c r="F114" s="676"/>
      <c r="G114" s="676"/>
      <c r="H114" s="676"/>
      <c r="I114" s="676"/>
      <c r="J114" s="676"/>
      <c r="K114" s="676"/>
      <c r="L114" s="676"/>
      <c r="M114" s="676"/>
      <c r="N114" s="676"/>
      <c r="O114" s="676"/>
      <c r="P114" s="676"/>
      <c r="Q114" s="676"/>
    </row>
    <row r="115" spans="1:20" s="21" customFormat="1" ht="16.5" customHeight="1">
      <c r="A115" s="8" t="s">
        <v>256</v>
      </c>
      <c r="B115" s="8"/>
      <c r="C115" s="8"/>
      <c r="D115" s="8"/>
      <c r="E115" s="8"/>
      <c r="F115" s="8"/>
      <c r="G115" s="8"/>
      <c r="H115" s="8"/>
      <c r="I115" s="8"/>
      <c r="J115" s="8"/>
      <c r="K115" s="8"/>
      <c r="L115" s="8"/>
      <c r="M115" s="8"/>
      <c r="N115" s="8"/>
      <c r="O115" s="8"/>
      <c r="P115" s="8"/>
      <c r="Q115" s="8"/>
      <c r="T115" s="230"/>
    </row>
    <row r="116" spans="1:20" s="21" customFormat="1" ht="16.5" customHeight="1">
      <c r="A116" s="703" t="s">
        <v>1228</v>
      </c>
      <c r="B116" s="704"/>
      <c r="C116" s="218" t="s">
        <v>220</v>
      </c>
      <c r="D116" s="219">
        <f>IF(現状_家畜飼養状況_乳牛=0,"",現状_家畜飼養状況_乳牛)</f>
      </c>
      <c r="E116" s="220" t="s">
        <v>221</v>
      </c>
      <c r="F116" s="221" t="s">
        <v>222</v>
      </c>
      <c r="G116" s="219">
        <f>IF(現状_家畜飼養状況_肉牛=0,"",現状_家畜飼養状況_肉牛)</f>
      </c>
      <c r="H116" s="220" t="s">
        <v>221</v>
      </c>
      <c r="I116" s="221" t="s">
        <v>223</v>
      </c>
      <c r="J116" s="219">
        <f>IF(現状_家畜飼養状況_肉豚=0,"",現状_家畜飼養状況_肉豚)</f>
      </c>
      <c r="K116" s="220" t="s">
        <v>221</v>
      </c>
      <c r="L116" s="221" t="s">
        <v>224</v>
      </c>
      <c r="M116" s="219">
        <f>IF(現状_家畜飼養状況_採卵鶏=0,"",現状_家畜飼養状況_採卵鶏)</f>
      </c>
      <c r="N116" s="220" t="s">
        <v>225</v>
      </c>
      <c r="O116" s="221" t="s">
        <v>226</v>
      </c>
      <c r="P116" s="219">
        <f>IF(現状_家畜飼養状況_ブロイラー=0,"",現状_家畜飼養状況_ブロイラー)</f>
      </c>
      <c r="Q116" s="222" t="s">
        <v>225</v>
      </c>
      <c r="T116" s="230"/>
    </row>
    <row r="117" spans="1:17" ht="16.5" customHeight="1">
      <c r="A117" s="712" t="s">
        <v>172</v>
      </c>
      <c r="B117" s="713"/>
      <c r="C117" s="223" t="s">
        <v>1136</v>
      </c>
      <c r="D117" s="237">
        <f>IF(現状_家畜飼養状況_乳牛_委託=0,"",現状_家畜飼養状況_乳牛_委託)</f>
      </c>
      <c r="E117" s="224" t="s">
        <v>1137</v>
      </c>
      <c r="F117" s="225" t="s">
        <v>1224</v>
      </c>
      <c r="G117" s="237">
        <f>IF(現状_家畜飼養状況_肉牛_委託=0,"",現状_家畜飼養状況_肉牛_委託)</f>
      </c>
      <c r="H117" s="224" t="s">
        <v>1137</v>
      </c>
      <c r="I117" s="225" t="s">
        <v>1227</v>
      </c>
      <c r="J117" s="237">
        <f>IF(現状_家畜飼養状況_肉豚_委託=0,"",現状_家畜飼養状況_肉豚_委託)</f>
      </c>
      <c r="K117" s="224" t="s">
        <v>1137</v>
      </c>
      <c r="L117" s="225" t="s">
        <v>1225</v>
      </c>
      <c r="M117" s="237">
        <f>IF(現状_家畜飼養状況_採卵鶏_委託=0,"",現状_家畜飼養状況_採卵鶏_委託)</f>
      </c>
      <c r="N117" s="224" t="s">
        <v>1226</v>
      </c>
      <c r="O117" s="225" t="s">
        <v>128</v>
      </c>
      <c r="P117" s="237">
        <f>IF(現状_家畜飼養状況_ブロイラー_委託=0,"",現状_家畜飼養状況_ブロイラー_委託)</f>
      </c>
      <c r="Q117" s="226" t="s">
        <v>1226</v>
      </c>
    </row>
    <row r="118" spans="1:17" ht="16.5" customHeight="1">
      <c r="A118" s="716" t="s">
        <v>1229</v>
      </c>
      <c r="B118" s="717"/>
      <c r="C118" s="177" t="s">
        <v>227</v>
      </c>
      <c r="D118" s="176">
        <f>IF(現状_飼料畑_田=0,"",現状_飼料畑_田)</f>
      </c>
      <c r="E118" s="175">
        <f>IF(現状_飼料畑_田借受=0,"",現状_飼料畑_田借受)</f>
      </c>
      <c r="F118" s="172" t="s">
        <v>228</v>
      </c>
      <c r="G118" s="183" t="s">
        <v>229</v>
      </c>
      <c r="H118" s="176">
        <f>IF(現状_飼料畑_畑=0,"",現状_飼料畑_畑)</f>
      </c>
      <c r="I118" s="175">
        <f>IF(現状_飼料畑_畑借受=0,"",現状_飼料畑_畑借受)</f>
      </c>
      <c r="J118" s="172" t="s">
        <v>228</v>
      </c>
      <c r="K118" s="183" t="s">
        <v>230</v>
      </c>
      <c r="L118" s="176">
        <f>IF(現状_飼料畑_草地=0,"",現状_飼料畑_草地)</f>
      </c>
      <c r="M118" s="175">
        <f>IF(現状_飼料畑_草地借受=0,"",現状_飼料畑_草地借受)</f>
      </c>
      <c r="N118" s="174" t="s">
        <v>228</v>
      </c>
      <c r="O118" s="9"/>
      <c r="P118" s="9"/>
      <c r="Q118" s="9"/>
    </row>
    <row r="119" spans="1:17" ht="16.5" customHeight="1">
      <c r="A119" s="711" t="s">
        <v>311</v>
      </c>
      <c r="B119" s="711"/>
      <c r="C119" s="711"/>
      <c r="D119" s="711"/>
      <c r="E119" s="711"/>
      <c r="F119" s="711"/>
      <c r="G119" s="711"/>
      <c r="H119" s="711"/>
      <c r="I119" s="711"/>
      <c r="J119" s="711"/>
      <c r="K119" s="711"/>
      <c r="L119" s="711"/>
      <c r="M119" s="711"/>
      <c r="N119" s="711"/>
      <c r="O119" s="711"/>
      <c r="P119" s="711"/>
      <c r="Q119" s="711"/>
    </row>
    <row r="120" spans="1:17" ht="16.5" customHeight="1">
      <c r="A120" s="711" t="s">
        <v>257</v>
      </c>
      <c r="B120" s="711"/>
      <c r="C120" s="711"/>
      <c r="D120" s="711"/>
      <c r="E120" s="711"/>
      <c r="F120" s="711"/>
      <c r="G120" s="711"/>
      <c r="H120" s="711"/>
      <c r="I120" s="711"/>
      <c r="J120" s="711"/>
      <c r="K120" s="711"/>
      <c r="L120" s="711"/>
      <c r="M120" s="711"/>
      <c r="N120" s="711"/>
      <c r="O120" s="711"/>
      <c r="P120" s="711"/>
      <c r="Q120" s="711"/>
    </row>
    <row r="121" spans="1:17" ht="16.5" customHeight="1">
      <c r="A121" s="8" t="s">
        <v>137</v>
      </c>
      <c r="B121" s="8"/>
      <c r="C121" s="8"/>
      <c r="D121" s="8"/>
      <c r="E121" s="8"/>
      <c r="F121" s="8"/>
      <c r="G121" s="8"/>
      <c r="H121" s="8"/>
      <c r="I121" s="8"/>
      <c r="J121" s="8"/>
      <c r="K121" s="8"/>
      <c r="L121" s="8"/>
      <c r="M121" s="8"/>
      <c r="N121" s="8"/>
      <c r="O121" s="8"/>
      <c r="P121" s="8"/>
      <c r="Q121" s="8"/>
    </row>
    <row r="122" spans="1:17" ht="16.5" customHeight="1">
      <c r="A122" s="279" t="s">
        <v>231</v>
      </c>
      <c r="B122" s="656">
        <f>機械3_機械区分</f>
      </c>
      <c r="C122" s="657"/>
      <c r="D122" s="657"/>
      <c r="E122" s="657"/>
      <c r="F122" s="657"/>
      <c r="G122" s="657"/>
      <c r="H122" s="657"/>
      <c r="I122" s="657"/>
      <c r="J122" s="656" t="s">
        <v>232</v>
      </c>
      <c r="K122" s="657"/>
      <c r="L122" s="656" t="s">
        <v>233</v>
      </c>
      <c r="M122" s="657"/>
      <c r="N122" s="656" t="s">
        <v>234</v>
      </c>
      <c r="O122" s="657"/>
      <c r="P122" s="656" t="s">
        <v>235</v>
      </c>
      <c r="Q122" s="710"/>
    </row>
    <row r="123" spans="1:20" s="2" customFormat="1" ht="16.5" customHeight="1">
      <c r="A123" s="280" t="s">
        <v>236</v>
      </c>
      <c r="B123" s="702">
        <f>機械3_機械名</f>
        <v>0</v>
      </c>
      <c r="C123" s="702"/>
      <c r="D123" s="702"/>
      <c r="E123" s="650"/>
      <c r="F123" s="650"/>
      <c r="G123" s="650"/>
      <c r="H123" s="650"/>
      <c r="I123" s="650"/>
      <c r="J123" s="700">
        <f>機械3_見積価格</f>
        <v>0</v>
      </c>
      <c r="K123" s="701"/>
      <c r="L123" s="660">
        <f>J123/1000</f>
        <v>0</v>
      </c>
      <c r="M123" s="661"/>
      <c r="N123" s="660">
        <f>ROUNDDOWN(J123/3,-3)/1000</f>
        <v>0</v>
      </c>
      <c r="O123" s="661"/>
      <c r="P123" s="660">
        <f>L123-N123</f>
        <v>0</v>
      </c>
      <c r="Q123" s="662"/>
      <c r="T123" s="231"/>
    </row>
    <row r="124" spans="1:20" s="2" customFormat="1" ht="16.5" customHeight="1">
      <c r="A124" s="280" t="s">
        <v>237</v>
      </c>
      <c r="B124" s="653">
        <f>機械3_銘柄</f>
        <v>0</v>
      </c>
      <c r="C124" s="654"/>
      <c r="D124" s="654"/>
      <c r="E124" s="265" t="s">
        <v>238</v>
      </c>
      <c r="F124" s="653">
        <f>機械3_形式</f>
        <v>0</v>
      </c>
      <c r="G124" s="654"/>
      <c r="H124" s="654"/>
      <c r="I124" s="654"/>
      <c r="J124" s="648" t="s">
        <v>239</v>
      </c>
      <c r="K124" s="649"/>
      <c r="L124" s="648">
        <f>機械3_現地納入業者_名称</f>
        <v>0</v>
      </c>
      <c r="M124" s="650"/>
      <c r="N124" s="650"/>
      <c r="O124" s="650"/>
      <c r="P124" s="650"/>
      <c r="Q124" s="651"/>
      <c r="T124" s="231"/>
    </row>
    <row r="125" spans="1:20" s="2" customFormat="1" ht="16.5" customHeight="1">
      <c r="A125" s="280" t="s">
        <v>240</v>
      </c>
      <c r="B125" s="646">
        <f>機械3_設置場所</f>
        <v>0</v>
      </c>
      <c r="C125" s="647"/>
      <c r="D125" s="647"/>
      <c r="E125" s="647"/>
      <c r="F125" s="647"/>
      <c r="G125" s="647"/>
      <c r="H125" s="647"/>
      <c r="I125" s="647"/>
      <c r="J125" s="648" t="s">
        <v>241</v>
      </c>
      <c r="K125" s="649"/>
      <c r="L125" s="648">
        <f>機械3_現地納入業者_所在地</f>
        <v>0</v>
      </c>
      <c r="M125" s="650"/>
      <c r="N125" s="650"/>
      <c r="O125" s="650"/>
      <c r="P125" s="650"/>
      <c r="Q125" s="651"/>
      <c r="T125" s="231"/>
    </row>
    <row r="126" spans="1:20" s="5" customFormat="1" ht="16.5" customHeight="1">
      <c r="A126" s="705"/>
      <c r="B126" s="706"/>
      <c r="C126" s="706"/>
      <c r="D126" s="706"/>
      <c r="E126" s="706"/>
      <c r="F126" s="706"/>
      <c r="G126" s="706"/>
      <c r="H126" s="706"/>
      <c r="I126" s="706"/>
      <c r="J126" s="707" t="s">
        <v>242</v>
      </c>
      <c r="K126" s="708"/>
      <c r="L126" s="707">
        <f>機械3_現地納入業者_電話番号</f>
        <v>0</v>
      </c>
      <c r="M126" s="706"/>
      <c r="N126" s="706"/>
      <c r="O126" s="706"/>
      <c r="P126" s="706"/>
      <c r="Q126" s="709"/>
      <c r="T126" s="232"/>
    </row>
    <row r="127" spans="1:20" s="5" customFormat="1" ht="16.5" customHeight="1">
      <c r="A127" s="683" t="s">
        <v>258</v>
      </c>
      <c r="B127" s="683"/>
      <c r="C127" s="683"/>
      <c r="D127" s="683"/>
      <c r="E127" s="683"/>
      <c r="F127" s="683"/>
      <c r="G127" s="683"/>
      <c r="H127" s="683"/>
      <c r="I127" s="683"/>
      <c r="J127" s="683"/>
      <c r="K127" s="683"/>
      <c r="L127" s="683"/>
      <c r="M127" s="683"/>
      <c r="N127" s="683"/>
      <c r="O127" s="683"/>
      <c r="P127" s="683"/>
      <c r="Q127" s="683"/>
      <c r="T127" s="232"/>
    </row>
    <row r="128" spans="1:20" s="173" customFormat="1" ht="16.5" customHeight="1">
      <c r="A128" s="684"/>
      <c r="B128" s="684"/>
      <c r="C128" s="684"/>
      <c r="D128" s="684"/>
      <c r="E128" s="684"/>
      <c r="F128" s="684"/>
      <c r="G128" s="684"/>
      <c r="H128" s="684"/>
      <c r="I128" s="684"/>
      <c r="J128" s="684"/>
      <c r="K128" s="684"/>
      <c r="L128" s="684"/>
      <c r="M128" s="684"/>
      <c r="N128" s="684"/>
      <c r="O128" s="684"/>
      <c r="P128" s="684"/>
      <c r="Q128" s="684"/>
      <c r="T128" s="233"/>
    </row>
    <row r="129" spans="1:20" s="173" customFormat="1" ht="16.5" customHeight="1">
      <c r="A129" s="181" t="s">
        <v>259</v>
      </c>
      <c r="B129" s="182"/>
      <c r="C129" s="182"/>
      <c r="D129" s="182"/>
      <c r="E129" s="182"/>
      <c r="F129" s="182"/>
      <c r="G129" s="182"/>
      <c r="H129" s="182"/>
      <c r="I129" s="182"/>
      <c r="J129" s="182"/>
      <c r="K129" s="182"/>
      <c r="L129" s="182"/>
      <c r="M129" s="182"/>
      <c r="N129" s="182"/>
      <c r="O129" s="182"/>
      <c r="P129" s="182"/>
      <c r="Q129" s="182"/>
      <c r="T129" s="233"/>
    </row>
    <row r="130" spans="1:20" s="173" customFormat="1" ht="16.5" customHeight="1">
      <c r="A130" s="718">
        <f>T(機械3_成果目標1)</f>
      </c>
      <c r="B130" s="719"/>
      <c r="C130" s="719"/>
      <c r="D130" s="719"/>
      <c r="E130" s="719"/>
      <c r="F130" s="719"/>
      <c r="G130" s="719"/>
      <c r="H130" s="719"/>
      <c r="I130" s="719"/>
      <c r="J130" s="719"/>
      <c r="K130" s="719"/>
      <c r="L130" s="719"/>
      <c r="M130" s="719"/>
      <c r="N130" s="719"/>
      <c r="O130" s="719"/>
      <c r="P130" s="719"/>
      <c r="Q130" s="720"/>
      <c r="T130" s="233"/>
    </row>
    <row r="131" spans="1:20" s="173" customFormat="1" ht="16.5" customHeight="1">
      <c r="A131" s="721">
        <f>T(機械3_成果目標2)</f>
      </c>
      <c r="B131" s="722"/>
      <c r="C131" s="722"/>
      <c r="D131" s="722"/>
      <c r="E131" s="722"/>
      <c r="F131" s="722"/>
      <c r="G131" s="722"/>
      <c r="H131" s="722"/>
      <c r="I131" s="722"/>
      <c r="J131" s="722"/>
      <c r="K131" s="722"/>
      <c r="L131" s="722"/>
      <c r="M131" s="722"/>
      <c r="N131" s="722"/>
      <c r="O131" s="722"/>
      <c r="P131" s="722"/>
      <c r="Q131" s="723"/>
      <c r="T131" s="233"/>
    </row>
    <row r="132" spans="1:20" s="173" customFormat="1" ht="16.5" customHeight="1">
      <c r="A132" s="227" t="s">
        <v>260</v>
      </c>
      <c r="B132" s="227"/>
      <c r="C132" s="227"/>
      <c r="D132" s="227"/>
      <c r="E132" s="227"/>
      <c r="F132" s="227"/>
      <c r="G132" s="227"/>
      <c r="H132" s="227"/>
      <c r="I132" s="227"/>
      <c r="J132" s="227"/>
      <c r="K132" s="227"/>
      <c r="L132" s="227"/>
      <c r="M132" s="227"/>
      <c r="N132" s="227"/>
      <c r="O132" s="227"/>
      <c r="P132" s="227"/>
      <c r="Q132" s="227"/>
      <c r="T132" s="233"/>
    </row>
    <row r="133" spans="1:20" s="173" customFormat="1" ht="16.5" customHeight="1">
      <c r="A133" s="691">
        <f>機械3_機械を必要とする理由</f>
        <v>0</v>
      </c>
      <c r="B133" s="692"/>
      <c r="C133" s="692"/>
      <c r="D133" s="692"/>
      <c r="E133" s="692"/>
      <c r="F133" s="692"/>
      <c r="G133" s="692"/>
      <c r="H133" s="692"/>
      <c r="I133" s="692"/>
      <c r="J133" s="692"/>
      <c r="K133" s="692"/>
      <c r="L133" s="692"/>
      <c r="M133" s="692"/>
      <c r="N133" s="692"/>
      <c r="O133" s="692"/>
      <c r="P133" s="692"/>
      <c r="Q133" s="693"/>
      <c r="T133" s="233"/>
    </row>
    <row r="134" spans="1:20" s="173" customFormat="1" ht="16.5" customHeight="1">
      <c r="A134" s="694"/>
      <c r="B134" s="695"/>
      <c r="C134" s="695"/>
      <c r="D134" s="695"/>
      <c r="E134" s="695"/>
      <c r="F134" s="695"/>
      <c r="G134" s="695"/>
      <c r="H134" s="695"/>
      <c r="I134" s="695"/>
      <c r="J134" s="695"/>
      <c r="K134" s="695"/>
      <c r="L134" s="695"/>
      <c r="M134" s="695"/>
      <c r="N134" s="695"/>
      <c r="O134" s="695"/>
      <c r="P134" s="695"/>
      <c r="Q134" s="696"/>
      <c r="T134" s="233"/>
    </row>
    <row r="135" spans="1:20" s="173" customFormat="1" ht="16.5" customHeight="1">
      <c r="A135" s="697"/>
      <c r="B135" s="698"/>
      <c r="C135" s="698"/>
      <c r="D135" s="698"/>
      <c r="E135" s="698"/>
      <c r="F135" s="698"/>
      <c r="G135" s="698"/>
      <c r="H135" s="698"/>
      <c r="I135" s="698"/>
      <c r="J135" s="698"/>
      <c r="K135" s="698"/>
      <c r="L135" s="698"/>
      <c r="M135" s="698"/>
      <c r="N135" s="698"/>
      <c r="O135" s="698"/>
      <c r="P135" s="698"/>
      <c r="Q135" s="699"/>
      <c r="T135" s="233"/>
    </row>
    <row r="136" spans="1:20" s="173" customFormat="1" ht="16.5" customHeight="1">
      <c r="A136" s="66" t="s">
        <v>261</v>
      </c>
      <c r="B136" s="97"/>
      <c r="C136" s="97"/>
      <c r="D136" s="97"/>
      <c r="E136" s="97"/>
      <c r="F136" s="97"/>
      <c r="G136" s="97"/>
      <c r="H136" s="97"/>
      <c r="I136" s="97"/>
      <c r="J136" s="97"/>
      <c r="K136" s="97"/>
      <c r="L136" s="97"/>
      <c r="M136" s="97"/>
      <c r="N136" s="97"/>
      <c r="O136" s="97"/>
      <c r="P136" s="97"/>
      <c r="Q136" s="97"/>
      <c r="T136" s="233"/>
    </row>
    <row r="137" spans="1:20" s="173" customFormat="1" ht="16.5" customHeight="1">
      <c r="A137" s="663" t="s">
        <v>262</v>
      </c>
      <c r="B137" s="664"/>
      <c r="C137" s="665">
        <f>借受団体_団体名</f>
        <v>0</v>
      </c>
      <c r="D137" s="665"/>
      <c r="E137" s="665"/>
      <c r="F137" s="665"/>
      <c r="G137" s="665"/>
      <c r="H137" s="665"/>
      <c r="I137" s="666"/>
      <c r="J137" s="184" t="s">
        <v>263</v>
      </c>
      <c r="K137" s="665" t="s">
        <v>243</v>
      </c>
      <c r="L137" s="665"/>
      <c r="M137" s="665"/>
      <c r="N137" s="665"/>
      <c r="O137" s="665"/>
      <c r="P137" s="666"/>
      <c r="Q137" s="282" t="s">
        <v>264</v>
      </c>
      <c r="T137" s="233"/>
    </row>
    <row r="138" spans="1:20" s="22" customFormat="1" ht="16.5" customHeight="1">
      <c r="A138" s="658" t="s">
        <v>265</v>
      </c>
      <c r="B138" s="659"/>
      <c r="C138" s="667">
        <f>借受団体_住所</f>
        <v>0</v>
      </c>
      <c r="D138" s="668"/>
      <c r="E138" s="668"/>
      <c r="F138" s="668"/>
      <c r="G138" s="668"/>
      <c r="H138" s="668"/>
      <c r="I138" s="669"/>
      <c r="J138" s="228" t="s">
        <v>266</v>
      </c>
      <c r="K138" s="668" t="s">
        <v>244</v>
      </c>
      <c r="L138" s="668"/>
      <c r="M138" s="668"/>
      <c r="N138" s="668"/>
      <c r="O138" s="668"/>
      <c r="P138" s="669"/>
      <c r="Q138" s="681">
        <f>リース期間</f>
        <v>5</v>
      </c>
      <c r="T138" s="234"/>
    </row>
    <row r="139" spans="1:17" ht="16.5" customHeight="1">
      <c r="A139" s="678" t="s">
        <v>267</v>
      </c>
      <c r="B139" s="679"/>
      <c r="C139" s="674">
        <f>借受団体_電話番号</f>
        <v>0</v>
      </c>
      <c r="D139" s="674"/>
      <c r="E139" s="674"/>
      <c r="F139" s="674"/>
      <c r="G139" s="674"/>
      <c r="H139" s="674"/>
      <c r="I139" s="675"/>
      <c r="J139" s="185" t="s">
        <v>268</v>
      </c>
      <c r="K139" s="674" t="s">
        <v>245</v>
      </c>
      <c r="L139" s="674"/>
      <c r="M139" s="674"/>
      <c r="N139" s="674"/>
      <c r="O139" s="674"/>
      <c r="P139" s="675"/>
      <c r="Q139" s="682"/>
    </row>
    <row r="140" spans="1:20" s="8" customFormat="1" ht="15" customHeight="1">
      <c r="A140" s="8" t="s">
        <v>269</v>
      </c>
      <c r="T140" s="235"/>
    </row>
    <row r="141" spans="1:20" s="8" customFormat="1" ht="15" customHeight="1">
      <c r="A141" s="8" t="s">
        <v>270</v>
      </c>
      <c r="J141" s="8" t="s">
        <v>271</v>
      </c>
      <c r="T141" s="235"/>
    </row>
    <row r="142" spans="1:20" s="8" customFormat="1" ht="15" customHeight="1">
      <c r="A142" s="66" t="s">
        <v>272</v>
      </c>
      <c r="B142" s="66"/>
      <c r="C142" s="66"/>
      <c r="D142" s="66"/>
      <c r="E142" s="66"/>
      <c r="F142" s="66"/>
      <c r="G142" s="66"/>
      <c r="H142" s="66"/>
      <c r="I142" s="66"/>
      <c r="J142" s="8" t="s">
        <v>273</v>
      </c>
      <c r="P142" s="66"/>
      <c r="Q142" s="66"/>
      <c r="T142" s="235"/>
    </row>
    <row r="143" spans="1:20" s="8" customFormat="1" ht="15" customHeight="1">
      <c r="A143" s="66" t="s">
        <v>274</v>
      </c>
      <c r="B143" s="66"/>
      <c r="C143" s="66"/>
      <c r="D143" s="66"/>
      <c r="E143" s="66"/>
      <c r="F143" s="66"/>
      <c r="G143" s="66"/>
      <c r="H143" s="66"/>
      <c r="I143" s="66"/>
      <c r="J143" s="66" t="s">
        <v>275</v>
      </c>
      <c r="K143" s="66"/>
      <c r="L143" s="66"/>
      <c r="M143" s="66"/>
      <c r="N143" s="66"/>
      <c r="O143" s="66"/>
      <c r="P143" s="66"/>
      <c r="Q143" s="66"/>
      <c r="T143" s="235"/>
    </row>
    <row r="144" spans="1:17" ht="16.5" customHeight="1">
      <c r="A144" s="66" t="s">
        <v>276</v>
      </c>
      <c r="B144" s="66"/>
      <c r="C144" s="66"/>
      <c r="D144" s="66"/>
      <c r="E144" s="66"/>
      <c r="F144" s="66"/>
      <c r="G144" s="66"/>
      <c r="H144" s="66"/>
      <c r="I144" s="66"/>
      <c r="J144" s="66" t="s">
        <v>277</v>
      </c>
      <c r="K144" s="66"/>
      <c r="L144" s="66"/>
      <c r="M144" s="66"/>
      <c r="N144" s="66"/>
      <c r="O144" s="66"/>
      <c r="P144" s="66"/>
      <c r="Q144" s="66"/>
    </row>
    <row r="145" spans="1:17" ht="16.5" customHeight="1">
      <c r="A145" s="66" t="s">
        <v>278</v>
      </c>
      <c r="B145" s="66"/>
      <c r="C145" s="66"/>
      <c r="D145" s="66"/>
      <c r="E145" s="66"/>
      <c r="F145" s="66"/>
      <c r="G145" s="66"/>
      <c r="H145" s="66"/>
      <c r="I145" s="66"/>
      <c r="J145" s="66" t="s">
        <v>279</v>
      </c>
      <c r="K145" s="66"/>
      <c r="L145" s="66"/>
      <c r="M145" s="66"/>
      <c r="N145" s="66"/>
      <c r="O145" s="66"/>
      <c r="P145" s="66"/>
      <c r="Q145" s="66"/>
    </row>
    <row r="146" spans="1:17" ht="16.5" customHeight="1">
      <c r="A146" s="66" t="s">
        <v>280</v>
      </c>
      <c r="B146" s="66"/>
      <c r="C146" s="66"/>
      <c r="D146" s="66"/>
      <c r="E146" s="66"/>
      <c r="F146" s="66"/>
      <c r="G146" s="66"/>
      <c r="H146" s="66"/>
      <c r="I146" s="66"/>
      <c r="J146" s="66" t="s">
        <v>281</v>
      </c>
      <c r="K146" s="66"/>
      <c r="L146" s="66"/>
      <c r="M146" s="66"/>
      <c r="N146" s="66"/>
      <c r="O146" s="66"/>
      <c r="P146" s="66"/>
      <c r="Q146" s="66"/>
    </row>
    <row r="147" spans="1:17" ht="16.5" customHeight="1">
      <c r="A147" s="66" t="s">
        <v>282</v>
      </c>
      <c r="B147" s="66"/>
      <c r="C147" s="66"/>
      <c r="D147" s="66"/>
      <c r="E147" s="66"/>
      <c r="F147" s="66"/>
      <c r="G147" s="66"/>
      <c r="H147" s="66"/>
      <c r="I147" s="66"/>
      <c r="J147" s="66" t="s">
        <v>283</v>
      </c>
      <c r="K147" s="66"/>
      <c r="L147" s="66"/>
      <c r="M147" s="66"/>
      <c r="N147" s="66"/>
      <c r="O147" s="66"/>
      <c r="P147" s="66"/>
      <c r="Q147" s="66"/>
    </row>
    <row r="148" spans="1:17" ht="16.5" customHeight="1">
      <c r="A148" s="8" t="s">
        <v>284</v>
      </c>
      <c r="B148" s="66"/>
      <c r="C148" s="66"/>
      <c r="D148" s="66"/>
      <c r="E148" s="66"/>
      <c r="F148" s="66"/>
      <c r="G148" s="66"/>
      <c r="H148" s="66"/>
      <c r="I148" s="66"/>
      <c r="J148" s="66" t="s">
        <v>285</v>
      </c>
      <c r="K148" s="66"/>
      <c r="L148" s="66"/>
      <c r="M148" s="66"/>
      <c r="N148" s="66"/>
      <c r="O148" s="66"/>
      <c r="P148" s="66"/>
      <c r="Q148" s="66"/>
    </row>
    <row r="149" spans="1:17" ht="16.5" customHeight="1">
      <c r="A149" s="66"/>
      <c r="B149" s="66"/>
      <c r="C149" s="66"/>
      <c r="D149" s="66"/>
      <c r="E149" s="66"/>
      <c r="F149" s="66"/>
      <c r="G149" s="66"/>
      <c r="H149" s="66"/>
      <c r="I149" s="66"/>
      <c r="J149" s="66"/>
      <c r="K149" s="66"/>
      <c r="L149" s="66"/>
      <c r="M149" s="66"/>
      <c r="N149" s="66"/>
      <c r="O149" s="66"/>
      <c r="P149" s="66"/>
      <c r="Q149" s="66"/>
    </row>
    <row r="150" spans="1:17" ht="16.5" customHeight="1">
      <c r="A150" s="652" t="s">
        <v>286</v>
      </c>
      <c r="B150" s="652"/>
      <c r="C150" s="652"/>
      <c r="D150" s="652"/>
      <c r="E150" s="652"/>
      <c r="F150" s="652"/>
      <c r="G150" s="652"/>
      <c r="H150" s="652"/>
      <c r="I150" s="652"/>
      <c r="J150" s="652"/>
      <c r="K150" s="652"/>
      <c r="L150" s="652"/>
      <c r="M150" s="652"/>
      <c r="N150" s="652"/>
      <c r="O150" s="652"/>
      <c r="P150" s="652"/>
      <c r="Q150" s="652"/>
    </row>
    <row r="151" spans="1:17" ht="16.5" customHeight="1">
      <c r="A151" s="1" t="s">
        <v>246</v>
      </c>
      <c r="N151" s="655">
        <f>申請月日</f>
        <v>0</v>
      </c>
      <c r="O151" s="655"/>
      <c r="P151" s="655"/>
      <c r="Q151" s="655"/>
    </row>
    <row r="152" spans="1:17" ht="19.5" customHeight="1">
      <c r="A152" s="680" t="s">
        <v>168</v>
      </c>
      <c r="B152" s="680"/>
      <c r="C152" s="680"/>
      <c r="D152" s="680"/>
      <c r="E152" s="680"/>
      <c r="F152" s="680"/>
      <c r="G152" s="680"/>
      <c r="H152" s="680"/>
      <c r="I152" s="680"/>
      <c r="J152" s="680"/>
      <c r="K152" s="680"/>
      <c r="L152" s="680"/>
      <c r="M152" s="680"/>
      <c r="N152" s="680"/>
      <c r="O152" s="680"/>
      <c r="P152" s="680"/>
      <c r="Q152" s="680"/>
    </row>
    <row r="153" spans="1:17" ht="16.5" customHeight="1">
      <c r="A153" s="205"/>
      <c r="B153" s="205"/>
      <c r="C153" s="205"/>
      <c r="D153" s="676" t="s">
        <v>247</v>
      </c>
      <c r="E153" s="670"/>
      <c r="F153" s="677" t="str">
        <f>事業名</f>
        <v>畜産排水対策緊急支援事業</v>
      </c>
      <c r="G153" s="677"/>
      <c r="H153" s="677"/>
      <c r="I153" s="677"/>
      <c r="J153" s="677"/>
      <c r="K153" s="677"/>
      <c r="L153" s="677"/>
      <c r="M153" s="677"/>
      <c r="N153" s="217" t="s">
        <v>248</v>
      </c>
      <c r="O153" s="205"/>
      <c r="P153" s="205"/>
      <c r="Q153" s="205"/>
    </row>
    <row r="154" spans="1:8" ht="16.5" customHeight="1">
      <c r="A154" s="652">
        <f>借受団体_団体名</f>
        <v>0</v>
      </c>
      <c r="B154" s="652"/>
      <c r="C154" s="652"/>
      <c r="D154" s="652"/>
      <c r="E154" s="673"/>
      <c r="F154" s="673"/>
      <c r="G154" s="673"/>
      <c r="H154" s="673"/>
    </row>
    <row r="155" spans="1:9" ht="16.5" customHeight="1">
      <c r="A155" s="652">
        <f>借受団体_代表者区分</f>
        <v>0</v>
      </c>
      <c r="B155" s="652"/>
      <c r="C155" s="652"/>
      <c r="D155" s="652"/>
      <c r="E155" s="652">
        <f>借受団体_代表者名</f>
        <v>0</v>
      </c>
      <c r="F155" s="652"/>
      <c r="G155" s="652"/>
      <c r="H155" s="652"/>
      <c r="I155" s="1" t="s">
        <v>249</v>
      </c>
    </row>
    <row r="157" spans="1:17" ht="16.5" customHeight="1">
      <c r="A157" s="672" t="s">
        <v>250</v>
      </c>
      <c r="B157" s="672"/>
      <c r="C157" s="672"/>
      <c r="D157" s="672"/>
      <c r="E157" s="672"/>
      <c r="F157" s="672"/>
      <c r="G157" s="672"/>
      <c r="H157" s="672"/>
      <c r="I157" s="672"/>
      <c r="J157" s="672"/>
      <c r="K157" s="672"/>
      <c r="L157" s="672"/>
      <c r="M157" s="672"/>
      <c r="N157" s="672"/>
      <c r="O157" s="672"/>
      <c r="P157" s="672"/>
      <c r="Q157" s="672"/>
    </row>
    <row r="158" spans="1:17" ht="16.5" customHeight="1">
      <c r="A158" s="672"/>
      <c r="B158" s="672"/>
      <c r="C158" s="672"/>
      <c r="D158" s="672"/>
      <c r="E158" s="672"/>
      <c r="F158" s="672"/>
      <c r="G158" s="672"/>
      <c r="H158" s="672"/>
      <c r="I158" s="672"/>
      <c r="J158" s="672"/>
      <c r="K158" s="672"/>
      <c r="L158" s="672"/>
      <c r="M158" s="672"/>
      <c r="N158" s="672"/>
      <c r="O158" s="672"/>
      <c r="P158" s="672"/>
      <c r="Q158" s="672"/>
    </row>
    <row r="159" spans="1:17" ht="16.5" customHeight="1">
      <c r="A159" s="672"/>
      <c r="B159" s="672"/>
      <c r="C159" s="672"/>
      <c r="D159" s="672"/>
      <c r="E159" s="672"/>
      <c r="F159" s="672"/>
      <c r="G159" s="672"/>
      <c r="H159" s="672"/>
      <c r="I159" s="672"/>
      <c r="J159" s="672"/>
      <c r="K159" s="672"/>
      <c r="L159" s="672"/>
      <c r="M159" s="672"/>
      <c r="N159" s="672"/>
      <c r="O159" s="672"/>
      <c r="P159" s="672"/>
      <c r="Q159" s="672"/>
    </row>
    <row r="160" spans="10:12" ht="16.5" customHeight="1">
      <c r="J160" s="671" t="s">
        <v>251</v>
      </c>
      <c r="K160" s="671"/>
      <c r="L160" s="671"/>
    </row>
    <row r="161" spans="10:17" ht="16.5" customHeight="1">
      <c r="J161" s="670" t="s">
        <v>252</v>
      </c>
      <c r="K161" s="670"/>
      <c r="L161" s="673">
        <f>住所_住所</f>
        <v>0</v>
      </c>
      <c r="M161" s="673"/>
      <c r="N161" s="673"/>
      <c r="O161" s="673"/>
      <c r="P161" s="673"/>
      <c r="Q161" s="673"/>
    </row>
    <row r="162" spans="10:17" ht="16.5" customHeight="1">
      <c r="J162" s="670" t="s">
        <v>253</v>
      </c>
      <c r="K162" s="670"/>
      <c r="L162" s="673">
        <f>借受者名_漢字</f>
        <v>0</v>
      </c>
      <c r="M162" s="673"/>
      <c r="N162" s="673"/>
      <c r="O162" s="673"/>
      <c r="P162" s="673"/>
      <c r="Q162" s="652" t="s">
        <v>860</v>
      </c>
    </row>
    <row r="163" spans="10:17" ht="16.5" customHeight="1">
      <c r="J163" s="670" t="s">
        <v>254</v>
      </c>
      <c r="K163" s="670"/>
      <c r="L163" s="673">
        <f>T(代表者名_漢字)</f>
      </c>
      <c r="M163" s="673"/>
      <c r="N163" s="673"/>
      <c r="O163" s="673"/>
      <c r="P163" s="673"/>
      <c r="Q163" s="673"/>
    </row>
    <row r="164" spans="1:17" ht="16.5" customHeight="1">
      <c r="A164" s="676" t="s">
        <v>255</v>
      </c>
      <c r="B164" s="676"/>
      <c r="C164" s="676"/>
      <c r="D164" s="676"/>
      <c r="E164" s="676"/>
      <c r="F164" s="676"/>
      <c r="G164" s="676"/>
      <c r="H164" s="676"/>
      <c r="I164" s="676"/>
      <c r="J164" s="676"/>
      <c r="K164" s="676"/>
      <c r="L164" s="676"/>
      <c r="M164" s="676"/>
      <c r="N164" s="676"/>
      <c r="O164" s="676"/>
      <c r="P164" s="676"/>
      <c r="Q164" s="676"/>
    </row>
    <row r="165" spans="1:20" s="21" customFormat="1" ht="16.5" customHeight="1">
      <c r="A165" s="8" t="s">
        <v>256</v>
      </c>
      <c r="B165" s="8"/>
      <c r="C165" s="8"/>
      <c r="D165" s="8"/>
      <c r="E165" s="8"/>
      <c r="F165" s="8"/>
      <c r="G165" s="8"/>
      <c r="H165" s="8"/>
      <c r="I165" s="8"/>
      <c r="J165" s="8"/>
      <c r="K165" s="8"/>
      <c r="L165" s="8"/>
      <c r="M165" s="8"/>
      <c r="N165" s="8"/>
      <c r="O165" s="8"/>
      <c r="P165" s="8"/>
      <c r="Q165" s="8"/>
      <c r="T165" s="230"/>
    </row>
    <row r="166" spans="1:20" s="21" customFormat="1" ht="16.5" customHeight="1">
      <c r="A166" s="703" t="s">
        <v>1228</v>
      </c>
      <c r="B166" s="704"/>
      <c r="C166" s="258" t="s">
        <v>220</v>
      </c>
      <c r="D166" s="266">
        <f>IF(現状_家畜飼養状況_乳牛=0,"",現状_家畜飼養状況_乳牛)</f>
      </c>
      <c r="E166" s="267" t="s">
        <v>221</v>
      </c>
      <c r="F166" s="268" t="s">
        <v>222</v>
      </c>
      <c r="G166" s="266">
        <f>IF(現状_家畜飼養状況_肉牛=0,"",現状_家畜飼養状況_肉牛)</f>
      </c>
      <c r="H166" s="267" t="s">
        <v>221</v>
      </c>
      <c r="I166" s="268" t="s">
        <v>223</v>
      </c>
      <c r="J166" s="266">
        <f>IF(現状_家畜飼養状況_肉豚=0,"",現状_家畜飼養状況_肉豚)</f>
      </c>
      <c r="K166" s="267" t="s">
        <v>221</v>
      </c>
      <c r="L166" s="268" t="s">
        <v>224</v>
      </c>
      <c r="M166" s="266">
        <f>IF(現状_家畜飼養状況_採卵鶏=0,"",現状_家畜飼養状況_採卵鶏)</f>
      </c>
      <c r="N166" s="267" t="s">
        <v>225</v>
      </c>
      <c r="O166" s="268" t="s">
        <v>226</v>
      </c>
      <c r="P166" s="266">
        <f>IF(現状_家畜飼養状況_ブロイラー=0,"",現状_家畜飼養状況_ブロイラー)</f>
      </c>
      <c r="Q166" s="269" t="s">
        <v>225</v>
      </c>
      <c r="T166" s="230"/>
    </row>
    <row r="167" spans="1:17" ht="16.5" customHeight="1">
      <c r="A167" s="712" t="s">
        <v>172</v>
      </c>
      <c r="B167" s="713"/>
      <c r="C167" s="259" t="s">
        <v>1136</v>
      </c>
      <c r="D167" s="270">
        <f>IF(現状_家畜飼養状況_乳牛_委託=0,"",現状_家畜飼養状況_乳牛_委託)</f>
      </c>
      <c r="E167" s="271" t="s">
        <v>1137</v>
      </c>
      <c r="F167" s="263" t="s">
        <v>1224</v>
      </c>
      <c r="G167" s="270">
        <f>IF(現状_家畜飼養状況_肉牛_委託=0,"",現状_家畜飼養状況_肉牛_委託)</f>
      </c>
      <c r="H167" s="271" t="s">
        <v>1137</v>
      </c>
      <c r="I167" s="263" t="s">
        <v>1227</v>
      </c>
      <c r="J167" s="270">
        <f>IF(現状_家畜飼養状況_肉豚_委託=0,"",現状_家畜飼養状況_肉豚_委託)</f>
      </c>
      <c r="K167" s="271" t="s">
        <v>1137</v>
      </c>
      <c r="L167" s="263" t="s">
        <v>1225</v>
      </c>
      <c r="M167" s="270">
        <f>IF(現状_家畜飼養状況_採卵鶏_委託=0,"",現状_家畜飼養状況_採卵鶏_委託)</f>
      </c>
      <c r="N167" s="271" t="s">
        <v>1226</v>
      </c>
      <c r="O167" s="263" t="s">
        <v>128</v>
      </c>
      <c r="P167" s="270">
        <f>IF(現状_家畜飼養状況_ブロイラー_委託=0,"",現状_家畜飼養状況_ブロイラー_委託)</f>
      </c>
      <c r="Q167" s="264" t="s">
        <v>1226</v>
      </c>
    </row>
    <row r="168" spans="1:17" ht="16.5" customHeight="1">
      <c r="A168" s="714" t="s">
        <v>1229</v>
      </c>
      <c r="B168" s="715"/>
      <c r="C168" s="272" t="s">
        <v>227</v>
      </c>
      <c r="D168" s="273">
        <f>IF(現状_飼料畑_田=0,"",現状_飼料畑_田)</f>
      </c>
      <c r="E168" s="274">
        <f>IF(現状_飼料畑_田借受=0,"",現状_飼料畑_田借受)</f>
      </c>
      <c r="F168" s="275" t="s">
        <v>228</v>
      </c>
      <c r="G168" s="276" t="s">
        <v>229</v>
      </c>
      <c r="H168" s="273">
        <f>IF(現状_飼料畑_畑=0,"",現状_飼料畑_畑)</f>
      </c>
      <c r="I168" s="274">
        <f>IF(現状_飼料畑_畑借受=0,"",現状_飼料畑_畑借受)</f>
      </c>
      <c r="J168" s="275" t="s">
        <v>228</v>
      </c>
      <c r="K168" s="276" t="s">
        <v>230</v>
      </c>
      <c r="L168" s="273">
        <f>IF(現状_飼料畑_草地=0,"",現状_飼料畑_草地)</f>
      </c>
      <c r="M168" s="274">
        <f>IF(現状_飼料畑_草地借受=0,"",現状_飼料畑_草地借受)</f>
      </c>
      <c r="N168" s="277" t="s">
        <v>228</v>
      </c>
      <c r="O168" s="278"/>
      <c r="P168" s="278"/>
      <c r="Q168" s="278"/>
    </row>
    <row r="169" spans="1:17" ht="16.5" customHeight="1">
      <c r="A169" s="711" t="s">
        <v>311</v>
      </c>
      <c r="B169" s="711"/>
      <c r="C169" s="711"/>
      <c r="D169" s="711"/>
      <c r="E169" s="711"/>
      <c r="F169" s="711"/>
      <c r="G169" s="711"/>
      <c r="H169" s="711"/>
      <c r="I169" s="711"/>
      <c r="J169" s="711"/>
      <c r="K169" s="711"/>
      <c r="L169" s="711"/>
      <c r="M169" s="711"/>
      <c r="N169" s="711"/>
      <c r="O169" s="711"/>
      <c r="P169" s="711"/>
      <c r="Q169" s="711"/>
    </row>
    <row r="170" spans="1:17" ht="16.5" customHeight="1">
      <c r="A170" s="711" t="s">
        <v>257</v>
      </c>
      <c r="B170" s="711"/>
      <c r="C170" s="711"/>
      <c r="D170" s="711"/>
      <c r="E170" s="711"/>
      <c r="F170" s="711"/>
      <c r="G170" s="711"/>
      <c r="H170" s="711"/>
      <c r="I170" s="711"/>
      <c r="J170" s="711"/>
      <c r="K170" s="711"/>
      <c r="L170" s="711"/>
      <c r="M170" s="711"/>
      <c r="N170" s="711"/>
      <c r="O170" s="711"/>
      <c r="P170" s="711"/>
      <c r="Q170" s="711"/>
    </row>
    <row r="171" spans="1:17" ht="16.5" customHeight="1">
      <c r="A171" s="8" t="s">
        <v>137</v>
      </c>
      <c r="B171" s="8"/>
      <c r="C171" s="8"/>
      <c r="D171" s="8"/>
      <c r="E171" s="8"/>
      <c r="F171" s="8"/>
      <c r="G171" s="8"/>
      <c r="H171" s="8"/>
      <c r="I171" s="8"/>
      <c r="J171" s="8"/>
      <c r="K171" s="8"/>
      <c r="L171" s="8"/>
      <c r="M171" s="8"/>
      <c r="N171" s="8"/>
      <c r="O171" s="8"/>
      <c r="P171" s="8"/>
      <c r="Q171" s="8"/>
    </row>
    <row r="172" spans="1:17" ht="16.5" customHeight="1">
      <c r="A172" s="279" t="s">
        <v>231</v>
      </c>
      <c r="B172" s="656">
        <f>機械4_機械区分</f>
      </c>
      <c r="C172" s="657"/>
      <c r="D172" s="657"/>
      <c r="E172" s="657"/>
      <c r="F172" s="657"/>
      <c r="G172" s="657"/>
      <c r="H172" s="657"/>
      <c r="I172" s="657"/>
      <c r="J172" s="656" t="s">
        <v>232</v>
      </c>
      <c r="K172" s="657"/>
      <c r="L172" s="656" t="s">
        <v>233</v>
      </c>
      <c r="M172" s="657"/>
      <c r="N172" s="656" t="s">
        <v>234</v>
      </c>
      <c r="O172" s="657"/>
      <c r="P172" s="656" t="s">
        <v>235</v>
      </c>
      <c r="Q172" s="710"/>
    </row>
    <row r="173" spans="1:20" s="2" customFormat="1" ht="16.5" customHeight="1">
      <c r="A173" s="280" t="s">
        <v>236</v>
      </c>
      <c r="B173" s="702">
        <f>機械4_機械名</f>
        <v>0</v>
      </c>
      <c r="C173" s="702"/>
      <c r="D173" s="702"/>
      <c r="E173" s="650"/>
      <c r="F173" s="650"/>
      <c r="G173" s="650"/>
      <c r="H173" s="650"/>
      <c r="I173" s="650"/>
      <c r="J173" s="700">
        <f>機械4_見積価格</f>
        <v>0</v>
      </c>
      <c r="K173" s="701"/>
      <c r="L173" s="660">
        <f>J173/1000</f>
        <v>0</v>
      </c>
      <c r="M173" s="661"/>
      <c r="N173" s="660">
        <f>ROUNDDOWN(J173/3,-3)/1000</f>
        <v>0</v>
      </c>
      <c r="O173" s="661"/>
      <c r="P173" s="660">
        <f>L173-N173</f>
        <v>0</v>
      </c>
      <c r="Q173" s="662"/>
      <c r="T173" s="231"/>
    </row>
    <row r="174" spans="1:20" s="2" customFormat="1" ht="16.5" customHeight="1">
      <c r="A174" s="280" t="s">
        <v>237</v>
      </c>
      <c r="B174" s="653">
        <f>機械4_銘柄</f>
        <v>0</v>
      </c>
      <c r="C174" s="654"/>
      <c r="D174" s="654"/>
      <c r="E174" s="265" t="s">
        <v>238</v>
      </c>
      <c r="F174" s="653">
        <f>機械4_形式</f>
        <v>0</v>
      </c>
      <c r="G174" s="654"/>
      <c r="H174" s="654"/>
      <c r="I174" s="654"/>
      <c r="J174" s="648" t="s">
        <v>239</v>
      </c>
      <c r="K174" s="649"/>
      <c r="L174" s="648">
        <f>機械4_現地納入業者_名称</f>
        <v>0</v>
      </c>
      <c r="M174" s="650"/>
      <c r="N174" s="650"/>
      <c r="O174" s="650"/>
      <c r="P174" s="650"/>
      <c r="Q174" s="651"/>
      <c r="T174" s="231"/>
    </row>
    <row r="175" spans="1:20" s="2" customFormat="1" ht="16.5" customHeight="1">
      <c r="A175" s="280" t="s">
        <v>240</v>
      </c>
      <c r="B175" s="646">
        <f>機械4_設置場所</f>
        <v>0</v>
      </c>
      <c r="C175" s="647"/>
      <c r="D175" s="647"/>
      <c r="E175" s="647"/>
      <c r="F175" s="647"/>
      <c r="G175" s="647"/>
      <c r="H175" s="647"/>
      <c r="I175" s="647"/>
      <c r="J175" s="648" t="s">
        <v>241</v>
      </c>
      <c r="K175" s="649"/>
      <c r="L175" s="648">
        <f>機械4_現地納入業者_所在地</f>
        <v>0</v>
      </c>
      <c r="M175" s="650"/>
      <c r="N175" s="650"/>
      <c r="O175" s="650"/>
      <c r="P175" s="650"/>
      <c r="Q175" s="651"/>
      <c r="T175" s="231"/>
    </row>
    <row r="176" spans="1:20" s="5" customFormat="1" ht="16.5" customHeight="1">
      <c r="A176" s="705"/>
      <c r="B176" s="706"/>
      <c r="C176" s="706"/>
      <c r="D176" s="706"/>
      <c r="E176" s="706"/>
      <c r="F176" s="706"/>
      <c r="G176" s="706"/>
      <c r="H176" s="706"/>
      <c r="I176" s="706"/>
      <c r="J176" s="707" t="s">
        <v>242</v>
      </c>
      <c r="K176" s="708"/>
      <c r="L176" s="707">
        <f>機械4_現地納入業者_電話番号</f>
        <v>0</v>
      </c>
      <c r="M176" s="706"/>
      <c r="N176" s="706"/>
      <c r="O176" s="706"/>
      <c r="P176" s="706"/>
      <c r="Q176" s="709"/>
      <c r="T176" s="232"/>
    </row>
    <row r="177" spans="1:20" s="5" customFormat="1" ht="16.5" customHeight="1">
      <c r="A177" s="683" t="s">
        <v>258</v>
      </c>
      <c r="B177" s="683"/>
      <c r="C177" s="683"/>
      <c r="D177" s="683"/>
      <c r="E177" s="683"/>
      <c r="F177" s="683"/>
      <c r="G177" s="683"/>
      <c r="H177" s="683"/>
      <c r="I177" s="683"/>
      <c r="J177" s="683"/>
      <c r="K177" s="683"/>
      <c r="L177" s="683"/>
      <c r="M177" s="683"/>
      <c r="N177" s="683"/>
      <c r="O177" s="683"/>
      <c r="P177" s="683"/>
      <c r="Q177" s="683"/>
      <c r="T177" s="232"/>
    </row>
    <row r="178" spans="1:20" s="173" customFormat="1" ht="16.5" customHeight="1">
      <c r="A178" s="684"/>
      <c r="B178" s="684"/>
      <c r="C178" s="684"/>
      <c r="D178" s="684"/>
      <c r="E178" s="684"/>
      <c r="F178" s="684"/>
      <c r="G178" s="684"/>
      <c r="H178" s="684"/>
      <c r="I178" s="684"/>
      <c r="J178" s="684"/>
      <c r="K178" s="684"/>
      <c r="L178" s="684"/>
      <c r="M178" s="684"/>
      <c r="N178" s="684"/>
      <c r="O178" s="684"/>
      <c r="P178" s="684"/>
      <c r="Q178" s="684"/>
      <c r="T178" s="233"/>
    </row>
    <row r="179" spans="1:20" s="173" customFormat="1" ht="16.5" customHeight="1">
      <c r="A179" s="181" t="s">
        <v>259</v>
      </c>
      <c r="B179" s="182"/>
      <c r="C179" s="182"/>
      <c r="D179" s="182"/>
      <c r="E179" s="182"/>
      <c r="F179" s="182"/>
      <c r="G179" s="182"/>
      <c r="H179" s="182"/>
      <c r="I179" s="182"/>
      <c r="J179" s="182"/>
      <c r="K179" s="182"/>
      <c r="L179" s="182"/>
      <c r="M179" s="182"/>
      <c r="N179" s="182"/>
      <c r="O179" s="182"/>
      <c r="P179" s="182"/>
      <c r="Q179" s="182"/>
      <c r="T179" s="233"/>
    </row>
    <row r="180" spans="1:20" s="173" customFormat="1" ht="16.5" customHeight="1">
      <c r="A180" s="718">
        <f>T(機械4_成果目標1)</f>
      </c>
      <c r="B180" s="719"/>
      <c r="C180" s="719"/>
      <c r="D180" s="719"/>
      <c r="E180" s="719"/>
      <c r="F180" s="719"/>
      <c r="G180" s="719"/>
      <c r="H180" s="719"/>
      <c r="I180" s="719"/>
      <c r="J180" s="719"/>
      <c r="K180" s="719"/>
      <c r="L180" s="719"/>
      <c r="M180" s="719"/>
      <c r="N180" s="719"/>
      <c r="O180" s="719"/>
      <c r="P180" s="719"/>
      <c r="Q180" s="720"/>
      <c r="T180" s="233"/>
    </row>
    <row r="181" spans="1:20" s="173" customFormat="1" ht="16.5" customHeight="1">
      <c r="A181" s="721">
        <f>T(機械4_成果目標2)</f>
      </c>
      <c r="B181" s="722"/>
      <c r="C181" s="722"/>
      <c r="D181" s="722"/>
      <c r="E181" s="722"/>
      <c r="F181" s="722"/>
      <c r="G181" s="722"/>
      <c r="H181" s="722"/>
      <c r="I181" s="722"/>
      <c r="J181" s="722"/>
      <c r="K181" s="722"/>
      <c r="L181" s="722"/>
      <c r="M181" s="722"/>
      <c r="N181" s="722"/>
      <c r="O181" s="722"/>
      <c r="P181" s="722"/>
      <c r="Q181" s="723"/>
      <c r="T181" s="233"/>
    </row>
    <row r="182" spans="1:20" s="173" customFormat="1" ht="16.5" customHeight="1">
      <c r="A182" s="227" t="s">
        <v>260</v>
      </c>
      <c r="B182" s="227"/>
      <c r="C182" s="227"/>
      <c r="D182" s="227"/>
      <c r="E182" s="227"/>
      <c r="F182" s="227"/>
      <c r="G182" s="227"/>
      <c r="H182" s="227"/>
      <c r="I182" s="227"/>
      <c r="J182" s="227"/>
      <c r="K182" s="227"/>
      <c r="L182" s="227"/>
      <c r="M182" s="227"/>
      <c r="N182" s="227"/>
      <c r="O182" s="227"/>
      <c r="P182" s="227"/>
      <c r="Q182" s="227"/>
      <c r="T182" s="233"/>
    </row>
    <row r="183" spans="1:20" s="173" customFormat="1" ht="16.5" customHeight="1">
      <c r="A183" s="691">
        <f>機械4_機械を必要とする理由</f>
        <v>0</v>
      </c>
      <c r="B183" s="692"/>
      <c r="C183" s="692"/>
      <c r="D183" s="692"/>
      <c r="E183" s="692"/>
      <c r="F183" s="692"/>
      <c r="G183" s="692"/>
      <c r="H183" s="692"/>
      <c r="I183" s="692"/>
      <c r="J183" s="692"/>
      <c r="K183" s="692"/>
      <c r="L183" s="692"/>
      <c r="M183" s="692"/>
      <c r="N183" s="692"/>
      <c r="O183" s="692"/>
      <c r="P183" s="692"/>
      <c r="Q183" s="693"/>
      <c r="T183" s="233"/>
    </row>
    <row r="184" spans="1:20" s="173" customFormat="1" ht="16.5" customHeight="1">
      <c r="A184" s="694"/>
      <c r="B184" s="695"/>
      <c r="C184" s="695"/>
      <c r="D184" s="695"/>
      <c r="E184" s="695"/>
      <c r="F184" s="695"/>
      <c r="G184" s="695"/>
      <c r="H184" s="695"/>
      <c r="I184" s="695"/>
      <c r="J184" s="695"/>
      <c r="K184" s="695"/>
      <c r="L184" s="695"/>
      <c r="M184" s="695"/>
      <c r="N184" s="695"/>
      <c r="O184" s="695"/>
      <c r="P184" s="695"/>
      <c r="Q184" s="696"/>
      <c r="T184" s="233"/>
    </row>
    <row r="185" spans="1:20" s="173" customFormat="1" ht="16.5" customHeight="1">
      <c r="A185" s="697"/>
      <c r="B185" s="698"/>
      <c r="C185" s="698"/>
      <c r="D185" s="698"/>
      <c r="E185" s="698"/>
      <c r="F185" s="698"/>
      <c r="G185" s="698"/>
      <c r="H185" s="698"/>
      <c r="I185" s="698"/>
      <c r="J185" s="698"/>
      <c r="K185" s="698"/>
      <c r="L185" s="698"/>
      <c r="M185" s="698"/>
      <c r="N185" s="698"/>
      <c r="O185" s="698"/>
      <c r="P185" s="698"/>
      <c r="Q185" s="699"/>
      <c r="T185" s="233"/>
    </row>
    <row r="186" spans="1:20" s="173" customFormat="1" ht="16.5" customHeight="1">
      <c r="A186" s="8" t="s">
        <v>261</v>
      </c>
      <c r="B186" s="8"/>
      <c r="C186" s="8"/>
      <c r="D186" s="8"/>
      <c r="E186" s="8"/>
      <c r="F186" s="8"/>
      <c r="G186" s="8"/>
      <c r="H186" s="8"/>
      <c r="I186" s="8"/>
      <c r="J186" s="8"/>
      <c r="K186" s="8"/>
      <c r="L186" s="8"/>
      <c r="M186" s="8"/>
      <c r="N186" s="8"/>
      <c r="O186" s="8"/>
      <c r="P186" s="8"/>
      <c r="Q186" s="8"/>
      <c r="T186" s="233"/>
    </row>
    <row r="187" spans="1:20" s="173" customFormat="1" ht="16.5" customHeight="1">
      <c r="A187" s="663" t="s">
        <v>262</v>
      </c>
      <c r="B187" s="664"/>
      <c r="C187" s="665">
        <f>借受団体_団体名</f>
        <v>0</v>
      </c>
      <c r="D187" s="665"/>
      <c r="E187" s="665"/>
      <c r="F187" s="665"/>
      <c r="G187" s="665"/>
      <c r="H187" s="665"/>
      <c r="I187" s="666"/>
      <c r="J187" s="184" t="s">
        <v>263</v>
      </c>
      <c r="K187" s="665" t="s">
        <v>243</v>
      </c>
      <c r="L187" s="665"/>
      <c r="M187" s="665"/>
      <c r="N187" s="665"/>
      <c r="O187" s="665"/>
      <c r="P187" s="666"/>
      <c r="Q187" s="282" t="s">
        <v>264</v>
      </c>
      <c r="T187" s="233"/>
    </row>
    <row r="188" spans="1:20" s="22" customFormat="1" ht="16.5" customHeight="1">
      <c r="A188" s="658" t="s">
        <v>265</v>
      </c>
      <c r="B188" s="659"/>
      <c r="C188" s="667">
        <f>借受団体_住所</f>
        <v>0</v>
      </c>
      <c r="D188" s="668"/>
      <c r="E188" s="668"/>
      <c r="F188" s="668"/>
      <c r="G188" s="668"/>
      <c r="H188" s="668"/>
      <c r="I188" s="669"/>
      <c r="J188" s="228" t="s">
        <v>266</v>
      </c>
      <c r="K188" s="668" t="s">
        <v>244</v>
      </c>
      <c r="L188" s="668"/>
      <c r="M188" s="668"/>
      <c r="N188" s="668"/>
      <c r="O188" s="668"/>
      <c r="P188" s="669"/>
      <c r="Q188" s="681">
        <f>リース期間</f>
        <v>5</v>
      </c>
      <c r="T188" s="234"/>
    </row>
    <row r="189" spans="1:17" ht="16.5" customHeight="1">
      <c r="A189" s="678" t="s">
        <v>267</v>
      </c>
      <c r="B189" s="679"/>
      <c r="C189" s="674">
        <f>借受団体_電話番号</f>
        <v>0</v>
      </c>
      <c r="D189" s="674"/>
      <c r="E189" s="674"/>
      <c r="F189" s="674"/>
      <c r="G189" s="674"/>
      <c r="H189" s="674"/>
      <c r="I189" s="675"/>
      <c r="J189" s="185" t="s">
        <v>268</v>
      </c>
      <c r="K189" s="674" t="s">
        <v>245</v>
      </c>
      <c r="L189" s="674"/>
      <c r="M189" s="674"/>
      <c r="N189" s="674"/>
      <c r="O189" s="674"/>
      <c r="P189" s="675"/>
      <c r="Q189" s="682"/>
    </row>
    <row r="190" spans="1:20" s="8" customFormat="1" ht="15" customHeight="1">
      <c r="A190" s="8" t="s">
        <v>269</v>
      </c>
      <c r="T190" s="235"/>
    </row>
    <row r="191" spans="1:20" s="8" customFormat="1" ht="15" customHeight="1">
      <c r="A191" s="8" t="s">
        <v>270</v>
      </c>
      <c r="J191" s="8" t="s">
        <v>271</v>
      </c>
      <c r="T191" s="235"/>
    </row>
    <row r="192" spans="1:20" s="8" customFormat="1" ht="15" customHeight="1">
      <c r="A192" s="66" t="s">
        <v>272</v>
      </c>
      <c r="B192" s="66"/>
      <c r="C192" s="66"/>
      <c r="D192" s="66"/>
      <c r="E192" s="66"/>
      <c r="F192" s="66"/>
      <c r="G192" s="66"/>
      <c r="H192" s="66"/>
      <c r="I192" s="66"/>
      <c r="J192" s="8" t="s">
        <v>273</v>
      </c>
      <c r="P192" s="66"/>
      <c r="Q192" s="66"/>
      <c r="T192" s="235"/>
    </row>
    <row r="193" spans="1:20" s="8" customFormat="1" ht="15" customHeight="1">
      <c r="A193" s="66" t="s">
        <v>274</v>
      </c>
      <c r="B193" s="66"/>
      <c r="C193" s="66"/>
      <c r="D193" s="66"/>
      <c r="E193" s="66"/>
      <c r="F193" s="66"/>
      <c r="G193" s="66"/>
      <c r="H193" s="66"/>
      <c r="I193" s="66"/>
      <c r="J193" s="66" t="s">
        <v>275</v>
      </c>
      <c r="K193" s="66"/>
      <c r="L193" s="66"/>
      <c r="M193" s="66"/>
      <c r="N193" s="66"/>
      <c r="O193" s="66"/>
      <c r="P193" s="66"/>
      <c r="Q193" s="66"/>
      <c r="T193" s="235"/>
    </row>
    <row r="194" spans="1:17" ht="16.5" customHeight="1">
      <c r="A194" s="66" t="s">
        <v>276</v>
      </c>
      <c r="B194" s="66"/>
      <c r="C194" s="66"/>
      <c r="D194" s="66"/>
      <c r="E194" s="66"/>
      <c r="F194" s="66"/>
      <c r="G194" s="66"/>
      <c r="H194" s="66"/>
      <c r="I194" s="66"/>
      <c r="J194" s="66" t="s">
        <v>277</v>
      </c>
      <c r="K194" s="66"/>
      <c r="L194" s="66"/>
      <c r="M194" s="66"/>
      <c r="N194" s="66"/>
      <c r="O194" s="66"/>
      <c r="P194" s="66"/>
      <c r="Q194" s="66"/>
    </row>
    <row r="195" spans="1:17" ht="16.5" customHeight="1">
      <c r="A195" s="66" t="s">
        <v>278</v>
      </c>
      <c r="B195" s="66"/>
      <c r="C195" s="66"/>
      <c r="D195" s="66"/>
      <c r="E195" s="66"/>
      <c r="F195" s="66"/>
      <c r="G195" s="66"/>
      <c r="H195" s="66"/>
      <c r="I195" s="66"/>
      <c r="J195" s="66" t="s">
        <v>279</v>
      </c>
      <c r="K195" s="66"/>
      <c r="L195" s="66"/>
      <c r="M195" s="66"/>
      <c r="N195" s="66"/>
      <c r="O195" s="66"/>
      <c r="P195" s="66"/>
      <c r="Q195" s="66"/>
    </row>
    <row r="196" spans="1:17" ht="16.5" customHeight="1">
      <c r="A196" s="66" t="s">
        <v>280</v>
      </c>
      <c r="B196" s="66"/>
      <c r="C196" s="66"/>
      <c r="D196" s="66"/>
      <c r="E196" s="66"/>
      <c r="F196" s="66"/>
      <c r="G196" s="66"/>
      <c r="H196" s="66"/>
      <c r="I196" s="66"/>
      <c r="J196" s="66" t="s">
        <v>281</v>
      </c>
      <c r="K196" s="66"/>
      <c r="L196" s="66"/>
      <c r="M196" s="66"/>
      <c r="N196" s="66"/>
      <c r="O196" s="66"/>
      <c r="P196" s="66"/>
      <c r="Q196" s="66"/>
    </row>
    <row r="197" spans="1:17" ht="16.5" customHeight="1">
      <c r="A197" s="66" t="s">
        <v>282</v>
      </c>
      <c r="B197" s="66"/>
      <c r="C197" s="66"/>
      <c r="D197" s="66"/>
      <c r="E197" s="66"/>
      <c r="F197" s="66"/>
      <c r="G197" s="66"/>
      <c r="H197" s="66"/>
      <c r="I197" s="66"/>
      <c r="J197" s="66" t="s">
        <v>283</v>
      </c>
      <c r="K197" s="66"/>
      <c r="L197" s="66"/>
      <c r="M197" s="66"/>
      <c r="N197" s="66"/>
      <c r="O197" s="66"/>
      <c r="P197" s="66"/>
      <c r="Q197" s="66"/>
    </row>
    <row r="198" spans="1:17" ht="16.5" customHeight="1">
      <c r="A198" s="8" t="s">
        <v>284</v>
      </c>
      <c r="B198" s="66"/>
      <c r="C198" s="66"/>
      <c r="D198" s="66"/>
      <c r="E198" s="66"/>
      <c r="F198" s="66"/>
      <c r="G198" s="66"/>
      <c r="H198" s="66"/>
      <c r="I198" s="66"/>
      <c r="J198" s="66" t="s">
        <v>285</v>
      </c>
      <c r="K198" s="66"/>
      <c r="L198" s="66"/>
      <c r="M198" s="66"/>
      <c r="N198" s="66"/>
      <c r="O198" s="66"/>
      <c r="P198" s="66"/>
      <c r="Q198" s="66"/>
    </row>
    <row r="199" spans="1:17" ht="16.5" customHeight="1">
      <c r="A199" s="66"/>
      <c r="B199" s="66"/>
      <c r="C199" s="66"/>
      <c r="D199" s="66"/>
      <c r="E199" s="66"/>
      <c r="F199" s="66"/>
      <c r="G199" s="66"/>
      <c r="H199" s="66"/>
      <c r="I199" s="66"/>
      <c r="J199" s="66"/>
      <c r="K199" s="66"/>
      <c r="L199" s="66"/>
      <c r="M199" s="66"/>
      <c r="N199" s="66"/>
      <c r="O199" s="66"/>
      <c r="P199" s="66"/>
      <c r="Q199" s="66"/>
    </row>
    <row r="200" spans="1:17" ht="16.5" customHeight="1">
      <c r="A200" s="652" t="s">
        <v>286</v>
      </c>
      <c r="B200" s="652"/>
      <c r="C200" s="652"/>
      <c r="D200" s="652"/>
      <c r="E200" s="652"/>
      <c r="F200" s="652"/>
      <c r="G200" s="652"/>
      <c r="H200" s="652"/>
      <c r="I200" s="652"/>
      <c r="J200" s="652"/>
      <c r="K200" s="652"/>
      <c r="L200" s="652"/>
      <c r="M200" s="652"/>
      <c r="N200" s="652"/>
      <c r="O200" s="652"/>
      <c r="P200" s="652"/>
      <c r="Q200" s="652"/>
    </row>
  </sheetData>
  <sheetProtection password="C704" sheet="1" selectLockedCells="1" selectUnlockedCells="1"/>
  <mergeCells count="228">
    <mergeCell ref="A200:Q200"/>
    <mergeCell ref="A188:B188"/>
    <mergeCell ref="C188:I188"/>
    <mergeCell ref="K188:P188"/>
    <mergeCell ref="Q188:Q189"/>
    <mergeCell ref="A189:B189"/>
    <mergeCell ref="C189:I189"/>
    <mergeCell ref="K189:P189"/>
    <mergeCell ref="A176:I176"/>
    <mergeCell ref="J176:K176"/>
    <mergeCell ref="L176:Q176"/>
    <mergeCell ref="A177:Q178"/>
    <mergeCell ref="A183:Q185"/>
    <mergeCell ref="A187:B187"/>
    <mergeCell ref="C187:I187"/>
    <mergeCell ref="K187:P187"/>
    <mergeCell ref="A180:Q180"/>
    <mergeCell ref="A181:Q181"/>
    <mergeCell ref="A167:B167"/>
    <mergeCell ref="A168:B168"/>
    <mergeCell ref="A169:Q169"/>
    <mergeCell ref="A170:Q170"/>
    <mergeCell ref="B172:I172"/>
    <mergeCell ref="L172:M172"/>
    <mergeCell ref="N172:O172"/>
    <mergeCell ref="P172:Q172"/>
    <mergeCell ref="J160:L160"/>
    <mergeCell ref="J161:K161"/>
    <mergeCell ref="L161:Q161"/>
    <mergeCell ref="A164:Q164"/>
    <mergeCell ref="J162:K162"/>
    <mergeCell ref="L162:P162"/>
    <mergeCell ref="Q162:Q163"/>
    <mergeCell ref="J163:K163"/>
    <mergeCell ref="L163:P163"/>
    <mergeCell ref="A127:Q128"/>
    <mergeCell ref="A130:Q130"/>
    <mergeCell ref="A131:Q131"/>
    <mergeCell ref="A133:Q135"/>
    <mergeCell ref="Q138:Q139"/>
    <mergeCell ref="A139:B139"/>
    <mergeCell ref="C139:I139"/>
    <mergeCell ref="K139:P139"/>
    <mergeCell ref="B125:I125"/>
    <mergeCell ref="J125:K125"/>
    <mergeCell ref="L125:Q125"/>
    <mergeCell ref="A126:I126"/>
    <mergeCell ref="J126:K126"/>
    <mergeCell ref="L126:Q126"/>
    <mergeCell ref="B124:D124"/>
    <mergeCell ref="F124:I124"/>
    <mergeCell ref="J124:K124"/>
    <mergeCell ref="L124:Q124"/>
    <mergeCell ref="L122:M122"/>
    <mergeCell ref="N122:O122"/>
    <mergeCell ref="B123:I123"/>
    <mergeCell ref="J123:K123"/>
    <mergeCell ref="L123:M123"/>
    <mergeCell ref="N123:O123"/>
    <mergeCell ref="P122:Q122"/>
    <mergeCell ref="P123:Q123"/>
    <mergeCell ref="A114:Q114"/>
    <mergeCell ref="A116:B116"/>
    <mergeCell ref="A117:B117"/>
    <mergeCell ref="A118:B118"/>
    <mergeCell ref="A119:Q119"/>
    <mergeCell ref="A120:Q120"/>
    <mergeCell ref="B122:I122"/>
    <mergeCell ref="J122:K122"/>
    <mergeCell ref="A80:Q80"/>
    <mergeCell ref="A81:Q81"/>
    <mergeCell ref="A83:Q85"/>
    <mergeCell ref="A87:B87"/>
    <mergeCell ref="C87:I87"/>
    <mergeCell ref="K87:P87"/>
    <mergeCell ref="L75:Q75"/>
    <mergeCell ref="A76:I76"/>
    <mergeCell ref="L76:Q76"/>
    <mergeCell ref="A77:Q78"/>
    <mergeCell ref="J76:K76"/>
    <mergeCell ref="B75:I75"/>
    <mergeCell ref="J75:K75"/>
    <mergeCell ref="P73:Q73"/>
    <mergeCell ref="B74:D74"/>
    <mergeCell ref="F74:I74"/>
    <mergeCell ref="J74:K74"/>
    <mergeCell ref="L74:Q74"/>
    <mergeCell ref="B73:I73"/>
    <mergeCell ref="J73:K73"/>
    <mergeCell ref="L73:M73"/>
    <mergeCell ref="N73:O73"/>
    <mergeCell ref="A66:B66"/>
    <mergeCell ref="A67:B67"/>
    <mergeCell ref="A68:B68"/>
    <mergeCell ref="A69:Q69"/>
    <mergeCell ref="A70:Q70"/>
    <mergeCell ref="B72:I72"/>
    <mergeCell ref="J72:K72"/>
    <mergeCell ref="L72:M72"/>
    <mergeCell ref="N72:O72"/>
    <mergeCell ref="P72:Q72"/>
    <mergeCell ref="A57:Q59"/>
    <mergeCell ref="J60:L60"/>
    <mergeCell ref="J61:K61"/>
    <mergeCell ref="L61:Q61"/>
    <mergeCell ref="J62:K62"/>
    <mergeCell ref="L62:P62"/>
    <mergeCell ref="Q62:Q63"/>
    <mergeCell ref="J63:K63"/>
    <mergeCell ref="L63:P63"/>
    <mergeCell ref="N51:Q51"/>
    <mergeCell ref="D53:E53"/>
    <mergeCell ref="F53:M53"/>
    <mergeCell ref="A54:H54"/>
    <mergeCell ref="A55:D55"/>
    <mergeCell ref="E55:H55"/>
    <mergeCell ref="A38:B38"/>
    <mergeCell ref="C38:I38"/>
    <mergeCell ref="K38:P38"/>
    <mergeCell ref="Q38:Q39"/>
    <mergeCell ref="A39:B39"/>
    <mergeCell ref="C39:I39"/>
    <mergeCell ref="K39:P39"/>
    <mergeCell ref="A19:Q19"/>
    <mergeCell ref="A20:Q20"/>
    <mergeCell ref="A17:B17"/>
    <mergeCell ref="J12:K12"/>
    <mergeCell ref="L12:P12"/>
    <mergeCell ref="A18:B18"/>
    <mergeCell ref="N1:Q1"/>
    <mergeCell ref="A2:Q2"/>
    <mergeCell ref="D3:E3"/>
    <mergeCell ref="F3:M3"/>
    <mergeCell ref="A4:H4"/>
    <mergeCell ref="J11:K11"/>
    <mergeCell ref="L11:Q11"/>
    <mergeCell ref="A16:B16"/>
    <mergeCell ref="Q12:Q13"/>
    <mergeCell ref="J13:K13"/>
    <mergeCell ref="L13:P13"/>
    <mergeCell ref="A14:Q14"/>
    <mergeCell ref="E5:H5"/>
    <mergeCell ref="A5:D5"/>
    <mergeCell ref="A7:Q9"/>
    <mergeCell ref="P23:Q23"/>
    <mergeCell ref="L22:M22"/>
    <mergeCell ref="J22:K22"/>
    <mergeCell ref="P22:Q22"/>
    <mergeCell ref="N22:O22"/>
    <mergeCell ref="L23:M23"/>
    <mergeCell ref="N23:O23"/>
    <mergeCell ref="B22:I22"/>
    <mergeCell ref="J10:L10"/>
    <mergeCell ref="B25:I25"/>
    <mergeCell ref="A26:I26"/>
    <mergeCell ref="J26:K26"/>
    <mergeCell ref="L26:Q26"/>
    <mergeCell ref="L25:Q25"/>
    <mergeCell ref="J25:K25"/>
    <mergeCell ref="J24:K24"/>
    <mergeCell ref="L24:Q24"/>
    <mergeCell ref="J23:K23"/>
    <mergeCell ref="B24:D24"/>
    <mergeCell ref="F24:I24"/>
    <mergeCell ref="B23:I23"/>
    <mergeCell ref="J173:K173"/>
    <mergeCell ref="A152:Q152"/>
    <mergeCell ref="D153:E153"/>
    <mergeCell ref="F153:M153"/>
    <mergeCell ref="A154:H154"/>
    <mergeCell ref="B173:I173"/>
    <mergeCell ref="A166:B166"/>
    <mergeCell ref="A155:D155"/>
    <mergeCell ref="E155:H155"/>
    <mergeCell ref="A157:Q159"/>
    <mergeCell ref="A64:Q64"/>
    <mergeCell ref="A52:Q52"/>
    <mergeCell ref="A50:Q50"/>
    <mergeCell ref="A27:Q28"/>
    <mergeCell ref="A30:Q30"/>
    <mergeCell ref="A31:Q31"/>
    <mergeCell ref="A33:Q35"/>
    <mergeCell ref="A37:B37"/>
    <mergeCell ref="C37:I37"/>
    <mergeCell ref="K37:P37"/>
    <mergeCell ref="C88:I88"/>
    <mergeCell ref="C89:I89"/>
    <mergeCell ref="D103:E103"/>
    <mergeCell ref="F103:M103"/>
    <mergeCell ref="A100:Q100"/>
    <mergeCell ref="K88:P88"/>
    <mergeCell ref="A89:B89"/>
    <mergeCell ref="A102:Q102"/>
    <mergeCell ref="K89:P89"/>
    <mergeCell ref="Q88:Q89"/>
    <mergeCell ref="J112:K112"/>
    <mergeCell ref="L112:P112"/>
    <mergeCell ref="Q112:Q113"/>
    <mergeCell ref="J113:K113"/>
    <mergeCell ref="L113:P113"/>
    <mergeCell ref="A107:Q109"/>
    <mergeCell ref="J110:L110"/>
    <mergeCell ref="J111:K111"/>
    <mergeCell ref="L111:Q111"/>
    <mergeCell ref="N101:Q101"/>
    <mergeCell ref="A104:H104"/>
    <mergeCell ref="A105:D105"/>
    <mergeCell ref="E105:H105"/>
    <mergeCell ref="A88:B88"/>
    <mergeCell ref="L173:M173"/>
    <mergeCell ref="N173:O173"/>
    <mergeCell ref="P173:Q173"/>
    <mergeCell ref="A137:B137"/>
    <mergeCell ref="C137:I137"/>
    <mergeCell ref="K137:P137"/>
    <mergeCell ref="A138:B138"/>
    <mergeCell ref="C138:I138"/>
    <mergeCell ref="K138:P138"/>
    <mergeCell ref="B175:I175"/>
    <mergeCell ref="J175:K175"/>
    <mergeCell ref="L175:Q175"/>
    <mergeCell ref="A150:Q150"/>
    <mergeCell ref="B174:D174"/>
    <mergeCell ref="F174:I174"/>
    <mergeCell ref="L174:Q174"/>
    <mergeCell ref="N151:Q151"/>
    <mergeCell ref="J174:K174"/>
    <mergeCell ref="J172:K172"/>
  </mergeCells>
  <printOptions horizontalCentered="1"/>
  <pageMargins left="0.6692913385826772" right="0.5118110236220472" top="0.984251968503937" bottom="0.7874015748031497" header="0.5118110236220472" footer="0.31496062992125984"/>
  <pageSetup horizontalDpi="300" verticalDpi="300" orientation="portrait" paperSize="9" scale="89" r:id="rId1"/>
  <rowBreaks count="3" manualBreakCount="3">
    <brk id="50" max="255" man="1"/>
    <brk id="100" max="255" man="1"/>
    <brk id="150" max="255" man="1"/>
  </rowBreaks>
</worksheet>
</file>

<file path=xl/worksheets/sheet7.xml><?xml version="1.0" encoding="utf-8"?>
<worksheet xmlns="http://schemas.openxmlformats.org/spreadsheetml/2006/main" xmlns:r="http://schemas.openxmlformats.org/officeDocument/2006/relationships">
  <sheetPr codeName="shtYoshiki30">
    <pageSetUpPr fitToPage="1"/>
  </sheetPr>
  <dimension ref="A1:L47"/>
  <sheetViews>
    <sheetView view="pageBreakPreview" zoomScaleSheetLayoutView="100" zoomScalePageLayoutView="0" workbookViewId="0" topLeftCell="A1">
      <selection activeCell="A1" sqref="A1"/>
    </sheetView>
  </sheetViews>
  <sheetFormatPr defaultColWidth="9.00390625" defaultRowHeight="16.5" customHeight="1"/>
  <cols>
    <col min="1" max="1" width="3.75390625" style="1" customWidth="1"/>
    <col min="2" max="9" width="8.75390625" style="1" customWidth="1"/>
    <col min="10" max="10" width="4.75390625" style="1" customWidth="1"/>
    <col min="11" max="11" width="9.75390625" style="1" customWidth="1"/>
    <col min="12" max="12" width="3.875" style="1" customWidth="1"/>
    <col min="13" max="16384" width="9.00390625" style="1" customWidth="1"/>
  </cols>
  <sheetData>
    <row r="1" ht="16.5" customHeight="1" thickBot="1">
      <c r="A1" s="1" t="s">
        <v>1215</v>
      </c>
    </row>
    <row r="2" spans="1:11" ht="27" customHeight="1" thickBot="1" thickTop="1">
      <c r="A2" s="740" t="s">
        <v>1145</v>
      </c>
      <c r="B2" s="741"/>
      <c r="C2" s="741"/>
      <c r="D2" s="741"/>
      <c r="E2" s="741"/>
      <c r="F2" s="741"/>
      <c r="G2" s="741"/>
      <c r="H2" s="741"/>
      <c r="I2" s="741"/>
      <c r="J2" s="741"/>
      <c r="K2" s="742"/>
    </row>
    <row r="3" ht="16.5" customHeight="1" thickTop="1"/>
    <row r="4" spans="1:11" ht="16.5" customHeight="1">
      <c r="A4" s="670" t="s">
        <v>1146</v>
      </c>
      <c r="B4" s="670"/>
      <c r="C4" s="670"/>
      <c r="D4" s="670"/>
      <c r="E4" s="670"/>
      <c r="F4" s="670"/>
      <c r="G4" s="670"/>
      <c r="H4" s="670"/>
      <c r="I4" s="670"/>
      <c r="J4" s="670"/>
      <c r="K4" s="670"/>
    </row>
    <row r="5" spans="1:11" ht="16.5" customHeight="1">
      <c r="A5" s="3" t="s">
        <v>708</v>
      </c>
      <c r="B5" s="671" t="s">
        <v>709</v>
      </c>
      <c r="C5" s="671"/>
      <c r="D5" s="671"/>
      <c r="E5" s="671"/>
      <c r="F5" s="671"/>
      <c r="G5" s="671"/>
      <c r="H5" s="671"/>
      <c r="I5" s="671"/>
      <c r="J5" s="671"/>
      <c r="K5" s="671"/>
    </row>
    <row r="6" spans="1:11" ht="16.5" customHeight="1">
      <c r="A6" s="3" t="s">
        <v>710</v>
      </c>
      <c r="B6" s="671" t="s">
        <v>711</v>
      </c>
      <c r="C6" s="671"/>
      <c r="D6" s="671"/>
      <c r="E6" s="671"/>
      <c r="F6" s="671"/>
      <c r="G6" s="671"/>
      <c r="H6" s="671"/>
      <c r="I6" s="671"/>
      <c r="J6" s="671"/>
      <c r="K6" s="671"/>
    </row>
    <row r="7" spans="1:11" ht="16.5" customHeight="1">
      <c r="A7" s="3" t="s">
        <v>712</v>
      </c>
      <c r="B7" s="671" t="s">
        <v>713</v>
      </c>
      <c r="C7" s="671"/>
      <c r="D7" s="671"/>
      <c r="E7" s="671"/>
      <c r="F7" s="671"/>
      <c r="G7" s="671"/>
      <c r="H7" s="671"/>
      <c r="I7" s="671"/>
      <c r="J7" s="671"/>
      <c r="K7" s="671"/>
    </row>
    <row r="8" spans="1:11" ht="16.5" customHeight="1">
      <c r="A8" s="3"/>
      <c r="B8" s="671" t="s">
        <v>714</v>
      </c>
      <c r="C8" s="671"/>
      <c r="D8" s="671"/>
      <c r="E8" s="671"/>
      <c r="F8" s="671"/>
      <c r="G8" s="671"/>
      <c r="H8" s="671"/>
      <c r="I8" s="671"/>
      <c r="J8" s="671"/>
      <c r="K8" s="671"/>
    </row>
    <row r="9" spans="1:11" ht="16.5" customHeight="1">
      <c r="A9" s="3" t="s">
        <v>715</v>
      </c>
      <c r="B9" s="671" t="s">
        <v>716</v>
      </c>
      <c r="C9" s="671"/>
      <c r="D9" s="671"/>
      <c r="E9" s="671"/>
      <c r="F9" s="671"/>
      <c r="G9" s="671"/>
      <c r="H9" s="671"/>
      <c r="I9" s="671"/>
      <c r="J9" s="671"/>
      <c r="K9" s="671"/>
    </row>
    <row r="10" spans="1:11" ht="16.5" customHeight="1">
      <c r="A10" s="3"/>
      <c r="B10" s="671" t="s">
        <v>717</v>
      </c>
      <c r="C10" s="671"/>
      <c r="D10" s="671"/>
      <c r="E10" s="671"/>
      <c r="F10" s="671"/>
      <c r="G10" s="671"/>
      <c r="H10" s="671"/>
      <c r="I10" s="671"/>
      <c r="J10" s="671"/>
      <c r="K10" s="671"/>
    </row>
    <row r="11" spans="1:11" ht="16.5" customHeight="1">
      <c r="A11" s="3" t="s">
        <v>718</v>
      </c>
      <c r="B11" s="671" t="s">
        <v>719</v>
      </c>
      <c r="C11" s="671"/>
      <c r="D11" s="671"/>
      <c r="E11" s="671"/>
      <c r="F11" s="671"/>
      <c r="G11" s="671"/>
      <c r="H11" s="671"/>
      <c r="I11" s="671"/>
      <c r="J11" s="671"/>
      <c r="K11" s="671"/>
    </row>
    <row r="12" spans="1:11" ht="16.5" customHeight="1">
      <c r="A12" s="2"/>
      <c r="B12" s="2"/>
      <c r="C12" s="2"/>
      <c r="D12" s="2"/>
      <c r="E12" s="2"/>
      <c r="F12" s="2"/>
      <c r="G12" s="2"/>
      <c r="H12" s="2"/>
      <c r="I12" s="2"/>
      <c r="K12" s="3" t="s">
        <v>1147</v>
      </c>
    </row>
    <row r="13" spans="1:11" ht="16.5" customHeight="1">
      <c r="A13" s="730" t="s">
        <v>839</v>
      </c>
      <c r="B13" s="731"/>
      <c r="C13" s="731"/>
      <c r="D13" s="731"/>
      <c r="E13" s="731"/>
      <c r="F13" s="731"/>
      <c r="G13" s="731"/>
      <c r="H13" s="731"/>
      <c r="I13" s="732"/>
      <c r="K13" s="3"/>
    </row>
    <row r="14" spans="1:11" ht="16.5" customHeight="1">
      <c r="A14" s="724" t="s">
        <v>840</v>
      </c>
      <c r="B14" s="725"/>
      <c r="C14" s="725"/>
      <c r="D14" s="725"/>
      <c r="E14" s="725"/>
      <c r="F14" s="725"/>
      <c r="G14" s="725"/>
      <c r="H14" s="725"/>
      <c r="I14" s="726"/>
      <c r="K14" s="733"/>
    </row>
    <row r="15" spans="1:11" ht="16.5" customHeight="1">
      <c r="A15" s="724"/>
      <c r="B15" s="725"/>
      <c r="C15" s="725"/>
      <c r="D15" s="725"/>
      <c r="E15" s="725"/>
      <c r="F15" s="725"/>
      <c r="G15" s="725"/>
      <c r="H15" s="725"/>
      <c r="I15" s="726"/>
      <c r="K15" s="734"/>
    </row>
    <row r="16" spans="1:11" ht="16.5" customHeight="1">
      <c r="A16" s="727"/>
      <c r="B16" s="728"/>
      <c r="C16" s="728"/>
      <c r="D16" s="728"/>
      <c r="E16" s="728"/>
      <c r="F16" s="728"/>
      <c r="G16" s="728"/>
      <c r="H16" s="728"/>
      <c r="I16" s="729"/>
      <c r="K16" s="735"/>
    </row>
    <row r="17" spans="1:11" ht="16.5" customHeight="1">
      <c r="A17" s="730" t="s">
        <v>841</v>
      </c>
      <c r="B17" s="731"/>
      <c r="C17" s="731"/>
      <c r="D17" s="731"/>
      <c r="E17" s="731"/>
      <c r="F17" s="731"/>
      <c r="G17" s="731"/>
      <c r="H17" s="731"/>
      <c r="I17" s="732"/>
      <c r="K17" s="3"/>
    </row>
    <row r="18" spans="1:11" ht="16.5" customHeight="1">
      <c r="A18" s="724" t="s">
        <v>191</v>
      </c>
      <c r="B18" s="725"/>
      <c r="C18" s="725"/>
      <c r="D18" s="725"/>
      <c r="E18" s="725"/>
      <c r="F18" s="725"/>
      <c r="G18" s="725"/>
      <c r="H18" s="725"/>
      <c r="I18" s="726"/>
      <c r="K18" s="3"/>
    </row>
    <row r="19" spans="1:11" ht="16.5" customHeight="1">
      <c r="A19" s="724"/>
      <c r="B19" s="725"/>
      <c r="C19" s="725"/>
      <c r="D19" s="725"/>
      <c r="E19" s="725"/>
      <c r="F19" s="725"/>
      <c r="G19" s="725"/>
      <c r="H19" s="725"/>
      <c r="I19" s="726"/>
      <c r="K19" s="733"/>
    </row>
    <row r="20" spans="1:11" ht="16.5" customHeight="1">
      <c r="A20" s="724"/>
      <c r="B20" s="725"/>
      <c r="C20" s="725"/>
      <c r="D20" s="725"/>
      <c r="E20" s="725"/>
      <c r="F20" s="725"/>
      <c r="G20" s="725"/>
      <c r="H20" s="725"/>
      <c r="I20" s="726"/>
      <c r="K20" s="734"/>
    </row>
    <row r="21" spans="1:11" ht="16.5" customHeight="1">
      <c r="A21" s="727"/>
      <c r="B21" s="728"/>
      <c r="C21" s="728"/>
      <c r="D21" s="728"/>
      <c r="E21" s="728"/>
      <c r="F21" s="728"/>
      <c r="G21" s="728"/>
      <c r="H21" s="728"/>
      <c r="I21" s="729"/>
      <c r="K21" s="735"/>
    </row>
    <row r="22" spans="1:11" ht="16.5" customHeight="1">
      <c r="A22" s="730" t="s">
        <v>842</v>
      </c>
      <c r="B22" s="731"/>
      <c r="C22" s="731"/>
      <c r="D22" s="731"/>
      <c r="E22" s="731"/>
      <c r="F22" s="731"/>
      <c r="G22" s="731"/>
      <c r="H22" s="731"/>
      <c r="I22" s="732"/>
      <c r="K22" s="3"/>
    </row>
    <row r="23" spans="1:11" ht="16.5" customHeight="1">
      <c r="A23" s="724" t="s">
        <v>192</v>
      </c>
      <c r="B23" s="725"/>
      <c r="C23" s="725"/>
      <c r="D23" s="725"/>
      <c r="E23" s="725"/>
      <c r="F23" s="725"/>
      <c r="G23" s="725"/>
      <c r="H23" s="725"/>
      <c r="I23" s="726"/>
      <c r="K23" s="3"/>
    </row>
    <row r="24" spans="1:11" ht="16.5" customHeight="1">
      <c r="A24" s="724"/>
      <c r="B24" s="725"/>
      <c r="C24" s="725"/>
      <c r="D24" s="725"/>
      <c r="E24" s="725"/>
      <c r="F24" s="725"/>
      <c r="G24" s="725"/>
      <c r="H24" s="725"/>
      <c r="I24" s="726"/>
      <c r="K24" s="733"/>
    </row>
    <row r="25" spans="1:11" ht="16.5" customHeight="1">
      <c r="A25" s="724"/>
      <c r="B25" s="725"/>
      <c r="C25" s="725"/>
      <c r="D25" s="725"/>
      <c r="E25" s="725"/>
      <c r="F25" s="725"/>
      <c r="G25" s="725"/>
      <c r="H25" s="725"/>
      <c r="I25" s="726"/>
      <c r="K25" s="734"/>
    </row>
    <row r="26" spans="1:11" ht="16.5" customHeight="1">
      <c r="A26" s="724"/>
      <c r="B26" s="725"/>
      <c r="C26" s="725"/>
      <c r="D26" s="725"/>
      <c r="E26" s="725"/>
      <c r="F26" s="725"/>
      <c r="G26" s="725"/>
      <c r="H26" s="725"/>
      <c r="I26" s="726"/>
      <c r="K26" s="735"/>
    </row>
    <row r="27" spans="1:11" ht="16.5" customHeight="1">
      <c r="A27" s="727"/>
      <c r="B27" s="728"/>
      <c r="C27" s="728"/>
      <c r="D27" s="728"/>
      <c r="E27" s="728"/>
      <c r="F27" s="728"/>
      <c r="G27" s="728"/>
      <c r="H27" s="728"/>
      <c r="I27" s="729"/>
      <c r="K27" s="3"/>
    </row>
    <row r="28" spans="1:11" ht="16.5" customHeight="1">
      <c r="A28" s="730" t="s">
        <v>843</v>
      </c>
      <c r="B28" s="731"/>
      <c r="C28" s="731"/>
      <c r="D28" s="731"/>
      <c r="E28" s="731"/>
      <c r="F28" s="731"/>
      <c r="G28" s="731"/>
      <c r="H28" s="731"/>
      <c r="I28" s="732"/>
      <c r="K28" s="733"/>
    </row>
    <row r="29" spans="1:11" ht="16.5" customHeight="1">
      <c r="A29" s="724" t="s">
        <v>193</v>
      </c>
      <c r="B29" s="725"/>
      <c r="C29" s="725"/>
      <c r="D29" s="725"/>
      <c r="E29" s="725"/>
      <c r="F29" s="725"/>
      <c r="G29" s="725"/>
      <c r="H29" s="725"/>
      <c r="I29" s="726"/>
      <c r="K29" s="734"/>
    </row>
    <row r="30" spans="1:11" ht="16.5" customHeight="1">
      <c r="A30" s="724"/>
      <c r="B30" s="725"/>
      <c r="C30" s="725"/>
      <c r="D30" s="725"/>
      <c r="E30" s="725"/>
      <c r="F30" s="725"/>
      <c r="G30" s="725"/>
      <c r="H30" s="725"/>
      <c r="I30" s="726"/>
      <c r="K30" s="735"/>
    </row>
    <row r="31" spans="1:11" ht="16.5" customHeight="1">
      <c r="A31" s="727"/>
      <c r="B31" s="728"/>
      <c r="C31" s="728"/>
      <c r="D31" s="728"/>
      <c r="E31" s="728"/>
      <c r="F31" s="728"/>
      <c r="G31" s="728"/>
      <c r="H31" s="728"/>
      <c r="I31" s="729"/>
      <c r="K31" s="21"/>
    </row>
    <row r="32" spans="1:11" ht="16.5" customHeight="1">
      <c r="A32" s="730" t="s">
        <v>844</v>
      </c>
      <c r="B32" s="731"/>
      <c r="C32" s="731"/>
      <c r="D32" s="731"/>
      <c r="E32" s="731"/>
      <c r="F32" s="731"/>
      <c r="G32" s="731"/>
      <c r="H32" s="731"/>
      <c r="I32" s="732"/>
      <c r="K32" s="733"/>
    </row>
    <row r="33" spans="1:11" ht="16.5" customHeight="1">
      <c r="A33" s="724" t="s">
        <v>194</v>
      </c>
      <c r="B33" s="725"/>
      <c r="C33" s="725"/>
      <c r="D33" s="725"/>
      <c r="E33" s="725"/>
      <c r="F33" s="725"/>
      <c r="G33" s="725"/>
      <c r="H33" s="725"/>
      <c r="I33" s="726"/>
      <c r="K33" s="734"/>
    </row>
    <row r="34" spans="1:11" ht="16.5" customHeight="1">
      <c r="A34" s="724"/>
      <c r="B34" s="725"/>
      <c r="C34" s="725"/>
      <c r="D34" s="725"/>
      <c r="E34" s="725"/>
      <c r="F34" s="725"/>
      <c r="G34" s="725"/>
      <c r="H34" s="725"/>
      <c r="I34" s="726"/>
      <c r="K34" s="735"/>
    </row>
    <row r="35" spans="1:11" ht="16.5" customHeight="1">
      <c r="A35" s="727"/>
      <c r="B35" s="728"/>
      <c r="C35" s="728"/>
      <c r="D35" s="728"/>
      <c r="E35" s="728"/>
      <c r="F35" s="728"/>
      <c r="G35" s="728"/>
      <c r="H35" s="728"/>
      <c r="I35" s="729"/>
      <c r="K35" s="21"/>
    </row>
    <row r="36" spans="1:11" ht="16.5" customHeight="1">
      <c r="A36" s="746" t="s">
        <v>845</v>
      </c>
      <c r="B36" s="747"/>
      <c r="C36" s="747"/>
      <c r="D36" s="747"/>
      <c r="E36" s="747"/>
      <c r="F36" s="747"/>
      <c r="G36" s="747"/>
      <c r="H36" s="747"/>
      <c r="I36" s="748"/>
      <c r="K36" s="733"/>
    </row>
    <row r="37" spans="1:11" ht="16.5" customHeight="1">
      <c r="A37" s="724" t="s">
        <v>195</v>
      </c>
      <c r="B37" s="725"/>
      <c r="C37" s="725"/>
      <c r="D37" s="725"/>
      <c r="E37" s="725"/>
      <c r="F37" s="725"/>
      <c r="G37" s="725"/>
      <c r="H37" s="725"/>
      <c r="I37" s="726"/>
      <c r="K37" s="734"/>
    </row>
    <row r="38" spans="1:11" ht="16.5" customHeight="1">
      <c r="A38" s="727"/>
      <c r="B38" s="728"/>
      <c r="C38" s="728"/>
      <c r="D38" s="728"/>
      <c r="E38" s="728"/>
      <c r="F38" s="728"/>
      <c r="G38" s="728"/>
      <c r="H38" s="728"/>
      <c r="I38" s="729"/>
      <c r="K38" s="735"/>
    </row>
    <row r="39" spans="1:9" ht="16.5" customHeight="1">
      <c r="A39" s="671"/>
      <c r="B39" s="671"/>
      <c r="C39" s="671"/>
      <c r="D39" s="671"/>
      <c r="E39" s="671"/>
      <c r="F39" s="671"/>
      <c r="G39" s="671"/>
      <c r="H39" s="671"/>
      <c r="I39" s="671"/>
    </row>
    <row r="40" spans="1:12" ht="16.5" customHeight="1">
      <c r="A40" s="743" t="s">
        <v>1150</v>
      </c>
      <c r="B40" s="744"/>
      <c r="C40" s="744"/>
      <c r="D40" s="744"/>
      <c r="E40" s="744"/>
      <c r="F40" s="744"/>
      <c r="G40" s="744"/>
      <c r="H40" s="744"/>
      <c r="I40" s="744"/>
      <c r="J40" s="744"/>
      <c r="K40" s="744"/>
      <c r="L40" s="745"/>
    </row>
    <row r="41" spans="1:12" ht="16.5" customHeight="1">
      <c r="A41" s="11"/>
      <c r="B41" s="739"/>
      <c r="C41" s="739"/>
      <c r="D41" s="739"/>
      <c r="E41" s="739"/>
      <c r="F41" s="739"/>
      <c r="G41" s="739"/>
      <c r="H41" s="5"/>
      <c r="I41" s="5"/>
      <c r="J41" s="5"/>
      <c r="K41" s="5"/>
      <c r="L41" s="12"/>
    </row>
    <row r="42" spans="1:12" ht="16.5" customHeight="1">
      <c r="A42" s="11"/>
      <c r="B42" s="739"/>
      <c r="C42" s="739"/>
      <c r="D42" s="739"/>
      <c r="E42" s="739"/>
      <c r="F42" s="739"/>
      <c r="G42" s="739"/>
      <c r="H42" s="5"/>
      <c r="I42" s="5"/>
      <c r="J42" s="5"/>
      <c r="K42" s="5"/>
      <c r="L42" s="12"/>
    </row>
    <row r="43" spans="1:12" ht="16.5" customHeight="1">
      <c r="A43" s="11"/>
      <c r="B43" s="739"/>
      <c r="C43" s="739"/>
      <c r="D43" s="739"/>
      <c r="E43" s="739"/>
      <c r="F43" s="739"/>
      <c r="G43" s="739"/>
      <c r="H43" s="5" t="s">
        <v>1148</v>
      </c>
      <c r="I43" s="736">
        <f>申請月日</f>
        <v>0</v>
      </c>
      <c r="J43" s="736"/>
      <c r="K43" s="736"/>
      <c r="L43" s="12"/>
    </row>
    <row r="44" spans="1:12" ht="16.5" customHeight="1">
      <c r="A44" s="11"/>
      <c r="B44" s="739"/>
      <c r="C44" s="739"/>
      <c r="D44" s="739"/>
      <c r="E44" s="739"/>
      <c r="F44" s="739"/>
      <c r="G44" s="739"/>
      <c r="H44" s="5" t="s">
        <v>1149</v>
      </c>
      <c r="I44" s="738">
        <f>借受者名_漢字</f>
        <v>0</v>
      </c>
      <c r="J44" s="738"/>
      <c r="K44" s="738"/>
      <c r="L44" s="12"/>
    </row>
    <row r="45" spans="1:12" ht="16.5" customHeight="1">
      <c r="A45" s="6"/>
      <c r="B45" s="7"/>
      <c r="C45" s="7"/>
      <c r="D45" s="7"/>
      <c r="E45" s="7"/>
      <c r="F45" s="7"/>
      <c r="G45" s="7"/>
      <c r="H45" s="7"/>
      <c r="I45" s="737">
        <f>T(代表者名_漢字)</f>
      </c>
      <c r="J45" s="737"/>
      <c r="K45" s="737"/>
      <c r="L45" s="13" t="s">
        <v>1134</v>
      </c>
    </row>
    <row r="47" spans="1:12" ht="16.5" customHeight="1">
      <c r="A47" s="652" t="s">
        <v>721</v>
      </c>
      <c r="B47" s="652"/>
      <c r="C47" s="652"/>
      <c r="D47" s="652"/>
      <c r="E47" s="652"/>
      <c r="F47" s="652"/>
      <c r="G47" s="652"/>
      <c r="H47" s="652"/>
      <c r="I47" s="652"/>
      <c r="J47" s="652"/>
      <c r="K47" s="652"/>
      <c r="L47" s="652"/>
    </row>
  </sheetData>
  <sheetProtection password="C704" sheet="1" selectLockedCells="1" selectUnlockedCells="1"/>
  <mergeCells count="34">
    <mergeCell ref="B8:K8"/>
    <mergeCell ref="K24:K26"/>
    <mergeCell ref="K28:K30"/>
    <mergeCell ref="A17:I17"/>
    <mergeCell ref="A29:I31"/>
    <mergeCell ref="B7:K7"/>
    <mergeCell ref="A23:I27"/>
    <mergeCell ref="A18:I21"/>
    <mergeCell ref="A40:L40"/>
    <mergeCell ref="K36:K38"/>
    <mergeCell ref="A37:I38"/>
    <mergeCell ref="K32:K34"/>
    <mergeCell ref="A39:I39"/>
    <mergeCell ref="A36:I36"/>
    <mergeCell ref="A22:I22"/>
    <mergeCell ref="A2:K2"/>
    <mergeCell ref="A4:K4"/>
    <mergeCell ref="B5:K5"/>
    <mergeCell ref="B6:K6"/>
    <mergeCell ref="I45:K45"/>
    <mergeCell ref="A28:I28"/>
    <mergeCell ref="I44:K44"/>
    <mergeCell ref="B41:G44"/>
    <mergeCell ref="A33:I35"/>
    <mergeCell ref="A47:L47"/>
    <mergeCell ref="B9:K9"/>
    <mergeCell ref="B10:K10"/>
    <mergeCell ref="B11:K11"/>
    <mergeCell ref="A14:I16"/>
    <mergeCell ref="A13:I13"/>
    <mergeCell ref="A32:I32"/>
    <mergeCell ref="K14:K16"/>
    <mergeCell ref="I43:K43"/>
    <mergeCell ref="K19:K21"/>
  </mergeCells>
  <printOptions horizontalCentered="1"/>
  <pageMargins left="0.7480314960629921" right="0.35433070866141736" top="0.984251968503937" bottom="0.984251968503937" header="0.5118110236220472" footer="0.5118110236220472"/>
  <pageSetup blackAndWhite="1" fitToHeight="1" fitToWidth="1" horizontalDpi="300" verticalDpi="300" orientation="portrait" paperSize="9" scale="97" r:id="rId1"/>
  <rowBreaks count="1" manualBreakCount="1">
    <brk id="44"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sheetPr codeName="shtYoshiki40">
    <pageSetUpPr fitToPage="1"/>
  </sheetPr>
  <dimension ref="A1:P40"/>
  <sheetViews>
    <sheetView view="pageBreakPreview" zoomScaleSheetLayoutView="100" zoomScalePageLayoutView="0" workbookViewId="0" topLeftCell="A1">
      <selection activeCell="A15" sqref="A15:C15"/>
    </sheetView>
  </sheetViews>
  <sheetFormatPr defaultColWidth="5.375" defaultRowHeight="20.25" customHeight="1"/>
  <cols>
    <col min="1" max="7" width="5.375" style="1" customWidth="1"/>
    <col min="8" max="8" width="5.50390625" style="1" customWidth="1"/>
    <col min="9" max="9" width="6.00390625" style="1" customWidth="1"/>
    <col min="10" max="10" width="6.25390625" style="1" customWidth="1"/>
    <col min="11" max="15" width="6.00390625" style="1" customWidth="1"/>
    <col min="16" max="16384" width="5.375" style="1" customWidth="1"/>
  </cols>
  <sheetData>
    <row r="1" spans="1:15" ht="20.25" customHeight="1">
      <c r="A1" s="1" t="s">
        <v>310</v>
      </c>
      <c r="M1" s="764">
        <f>申請月日</f>
        <v>0</v>
      </c>
      <c r="N1" s="764"/>
      <c r="O1" s="764"/>
    </row>
    <row r="2" spans="13:15" ht="20.25" customHeight="1">
      <c r="M2" s="10"/>
      <c r="N2" s="10"/>
      <c r="O2" s="10"/>
    </row>
    <row r="3" spans="1:16" ht="20.25" customHeight="1">
      <c r="A3" s="680" t="s">
        <v>31</v>
      </c>
      <c r="B3" s="680"/>
      <c r="C3" s="680"/>
      <c r="D3" s="680"/>
      <c r="E3" s="680"/>
      <c r="F3" s="680"/>
      <c r="G3" s="680"/>
      <c r="H3" s="680"/>
      <c r="I3" s="680"/>
      <c r="J3" s="680"/>
      <c r="K3" s="680"/>
      <c r="L3" s="680"/>
      <c r="M3" s="680"/>
      <c r="N3" s="680"/>
      <c r="O3" s="680"/>
      <c r="P3" s="4"/>
    </row>
    <row r="4" spans="1:16" ht="20.25" customHeight="1">
      <c r="A4" s="3"/>
      <c r="B4" s="3"/>
      <c r="C4" s="3"/>
      <c r="D4" s="3" t="s">
        <v>846</v>
      </c>
      <c r="E4" s="670" t="s">
        <v>704</v>
      </c>
      <c r="F4" s="670"/>
      <c r="G4" s="652" t="str">
        <f>事業名</f>
        <v>畜産排水対策緊急支援事業</v>
      </c>
      <c r="H4" s="652"/>
      <c r="I4" s="652"/>
      <c r="J4" s="652"/>
      <c r="K4" s="652"/>
      <c r="L4" s="3" t="s">
        <v>688</v>
      </c>
      <c r="M4" s="3"/>
      <c r="N4" s="3"/>
      <c r="O4" s="3"/>
      <c r="P4" s="3"/>
    </row>
    <row r="5" spans="1:16" ht="20.25" customHeight="1">
      <c r="A5" s="3"/>
      <c r="B5" s="3"/>
      <c r="C5" s="3"/>
      <c r="D5" s="3"/>
      <c r="E5" s="3"/>
      <c r="F5" s="3"/>
      <c r="G5" s="3"/>
      <c r="H5" s="3"/>
      <c r="I5" s="3"/>
      <c r="J5" s="3"/>
      <c r="K5" s="3"/>
      <c r="L5" s="3"/>
      <c r="M5" s="3"/>
      <c r="N5" s="3"/>
      <c r="O5" s="3"/>
      <c r="P5" s="3"/>
    </row>
    <row r="6" spans="1:15" ht="20.25" customHeight="1">
      <c r="A6" s="749" t="s">
        <v>32</v>
      </c>
      <c r="B6" s="749"/>
      <c r="C6" s="749"/>
      <c r="D6" s="749"/>
      <c r="E6" s="749"/>
      <c r="F6" s="749"/>
      <c r="G6" s="749"/>
      <c r="H6" s="749"/>
      <c r="I6" s="749"/>
      <c r="J6" s="749"/>
      <c r="K6" s="749"/>
      <c r="L6" s="749"/>
      <c r="M6" s="749"/>
      <c r="N6" s="749"/>
      <c r="O6" s="749"/>
    </row>
    <row r="7" spans="1:15" ht="20.25" customHeight="1">
      <c r="A7" s="749"/>
      <c r="B7" s="749"/>
      <c r="C7" s="749"/>
      <c r="D7" s="749"/>
      <c r="E7" s="749"/>
      <c r="F7" s="749"/>
      <c r="G7" s="749"/>
      <c r="H7" s="749"/>
      <c r="I7" s="749"/>
      <c r="J7" s="749"/>
      <c r="K7" s="749"/>
      <c r="L7" s="749"/>
      <c r="M7" s="749"/>
      <c r="N7" s="749"/>
      <c r="O7" s="749"/>
    </row>
    <row r="9" spans="1:16" ht="20.25" customHeight="1">
      <c r="A9" s="3" t="s">
        <v>1155</v>
      </c>
      <c r="B9" s="1" t="s">
        <v>1156</v>
      </c>
      <c r="O9" s="22"/>
      <c r="P9" s="22"/>
    </row>
    <row r="10" spans="1:16" ht="20.25" customHeight="1">
      <c r="A10" s="763" t="s">
        <v>1151</v>
      </c>
      <c r="B10" s="657"/>
      <c r="C10" s="657"/>
      <c r="D10" s="657"/>
      <c r="E10" s="657" t="s">
        <v>1140</v>
      </c>
      <c r="F10" s="657"/>
      <c r="G10" s="657"/>
      <c r="H10" s="657" t="s">
        <v>1141</v>
      </c>
      <c r="I10" s="657"/>
      <c r="J10" s="657"/>
      <c r="K10" s="657" t="s">
        <v>1138</v>
      </c>
      <c r="L10" s="657"/>
      <c r="M10" s="657"/>
      <c r="N10" s="710"/>
      <c r="O10" s="21"/>
      <c r="P10" s="22"/>
    </row>
    <row r="11" spans="1:16" ht="20.25" customHeight="1">
      <c r="A11" s="751">
        <f>機械1_機械名</f>
        <v>0</v>
      </c>
      <c r="B11" s="708"/>
      <c r="C11" s="708"/>
      <c r="D11" s="708"/>
      <c r="E11" s="708">
        <f>機械1_銘柄</f>
        <v>0</v>
      </c>
      <c r="F11" s="708"/>
      <c r="G11" s="708"/>
      <c r="H11" s="708">
        <f>機械1_形式</f>
        <v>0</v>
      </c>
      <c r="I11" s="708"/>
      <c r="J11" s="708"/>
      <c r="K11" s="752">
        <f>機械1_見積価格</f>
        <v>0</v>
      </c>
      <c r="L11" s="753"/>
      <c r="M11" s="753"/>
      <c r="N11" s="754"/>
      <c r="O11" s="22"/>
      <c r="P11" s="22"/>
    </row>
    <row r="13" spans="1:7" ht="20.25" customHeight="1">
      <c r="A13" s="3" t="s">
        <v>1157</v>
      </c>
      <c r="B13" s="1" t="s">
        <v>1158</v>
      </c>
      <c r="D13" s="14"/>
      <c r="E13" s="14" t="s">
        <v>722</v>
      </c>
      <c r="F13" s="260">
        <f>集団の構成員</f>
        <v>0</v>
      </c>
      <c r="G13" s="1" t="s">
        <v>1152</v>
      </c>
    </row>
    <row r="14" spans="1:15" ht="18.75" customHeight="1">
      <c r="A14" s="763" t="s">
        <v>1153</v>
      </c>
      <c r="B14" s="657"/>
      <c r="C14" s="657"/>
      <c r="D14" s="657" t="s">
        <v>1132</v>
      </c>
      <c r="E14" s="657"/>
      <c r="F14" s="657"/>
      <c r="G14" s="657"/>
      <c r="H14" s="657"/>
      <c r="I14" s="657" t="s">
        <v>1131</v>
      </c>
      <c r="J14" s="657"/>
      <c r="K14" s="657"/>
      <c r="L14" s="657"/>
      <c r="M14" s="657"/>
      <c r="N14" s="657"/>
      <c r="O14" s="710"/>
    </row>
    <row r="15" spans="1:15" ht="18.75" customHeight="1">
      <c r="A15" s="755">
        <f>T(管理責任者1)</f>
      </c>
      <c r="B15" s="756"/>
      <c r="C15" s="757"/>
      <c r="D15" s="649">
        <f>T(氏名1)</f>
      </c>
      <c r="E15" s="649"/>
      <c r="F15" s="649"/>
      <c r="G15" s="649"/>
      <c r="H15" s="46" t="s">
        <v>1134</v>
      </c>
      <c r="I15" s="760">
        <f>T(住所1)</f>
      </c>
      <c r="J15" s="761"/>
      <c r="K15" s="761"/>
      <c r="L15" s="761"/>
      <c r="M15" s="761"/>
      <c r="N15" s="761"/>
      <c r="O15" s="762"/>
    </row>
    <row r="16" spans="1:15" ht="18.75" customHeight="1">
      <c r="A16" s="755">
        <f>T(管理責任者2)</f>
      </c>
      <c r="B16" s="756"/>
      <c r="C16" s="757"/>
      <c r="D16" s="649">
        <f>T(氏名2)</f>
      </c>
      <c r="E16" s="649"/>
      <c r="F16" s="649"/>
      <c r="G16" s="649"/>
      <c r="H16" s="46" t="s">
        <v>1134</v>
      </c>
      <c r="I16" s="760">
        <f>T(住所2)</f>
      </c>
      <c r="J16" s="761"/>
      <c r="K16" s="761"/>
      <c r="L16" s="761"/>
      <c r="M16" s="761"/>
      <c r="N16" s="761"/>
      <c r="O16" s="762"/>
    </row>
    <row r="17" spans="1:15" ht="18.75" customHeight="1">
      <c r="A17" s="755">
        <f>T(管理責任者3)</f>
      </c>
      <c r="B17" s="756"/>
      <c r="C17" s="757"/>
      <c r="D17" s="649">
        <f>T(氏名3)</f>
      </c>
      <c r="E17" s="649"/>
      <c r="F17" s="649"/>
      <c r="G17" s="649"/>
      <c r="H17" s="46" t="s">
        <v>1134</v>
      </c>
      <c r="I17" s="760">
        <f>T(住所3)</f>
      </c>
      <c r="J17" s="761"/>
      <c r="K17" s="761"/>
      <c r="L17" s="761"/>
      <c r="M17" s="761"/>
      <c r="N17" s="761"/>
      <c r="O17" s="762"/>
    </row>
    <row r="18" spans="1:15" ht="18.75" customHeight="1">
      <c r="A18" s="755">
        <f>T(管理責任者4)</f>
      </c>
      <c r="B18" s="756"/>
      <c r="C18" s="757"/>
      <c r="D18" s="649">
        <f>T(氏名4)</f>
      </c>
      <c r="E18" s="649"/>
      <c r="F18" s="649"/>
      <c r="G18" s="649"/>
      <c r="H18" s="46" t="s">
        <v>1134</v>
      </c>
      <c r="I18" s="760">
        <f>T(住所4)</f>
      </c>
      <c r="J18" s="761"/>
      <c r="K18" s="761"/>
      <c r="L18" s="761"/>
      <c r="M18" s="761"/>
      <c r="N18" s="761"/>
      <c r="O18" s="762"/>
    </row>
    <row r="19" spans="1:15" ht="18.75" customHeight="1">
      <c r="A19" s="755">
        <f>T(管理責任者5)</f>
      </c>
      <c r="B19" s="756"/>
      <c r="C19" s="757"/>
      <c r="D19" s="649">
        <f>T(氏名5)</f>
      </c>
      <c r="E19" s="649"/>
      <c r="F19" s="649"/>
      <c r="G19" s="649"/>
      <c r="H19" s="46" t="s">
        <v>1134</v>
      </c>
      <c r="I19" s="760">
        <f>T(住所5)</f>
      </c>
      <c r="J19" s="761"/>
      <c r="K19" s="761"/>
      <c r="L19" s="761"/>
      <c r="M19" s="761"/>
      <c r="N19" s="761"/>
      <c r="O19" s="762"/>
    </row>
    <row r="20" spans="1:15" ht="18.75" customHeight="1">
      <c r="A20" s="755">
        <f>T(管理責任者6)</f>
      </c>
      <c r="B20" s="756"/>
      <c r="C20" s="757"/>
      <c r="D20" s="649">
        <f>T(氏名6)</f>
      </c>
      <c r="E20" s="649"/>
      <c r="F20" s="649"/>
      <c r="G20" s="649"/>
      <c r="H20" s="46" t="s">
        <v>1134</v>
      </c>
      <c r="I20" s="760">
        <f>T(住所6)</f>
      </c>
      <c r="J20" s="761"/>
      <c r="K20" s="761"/>
      <c r="L20" s="761"/>
      <c r="M20" s="761"/>
      <c r="N20" s="761"/>
      <c r="O20" s="762"/>
    </row>
    <row r="21" spans="1:15" ht="18.75" customHeight="1">
      <c r="A21" s="755">
        <f>T(管理責任者7)</f>
      </c>
      <c r="B21" s="756"/>
      <c r="C21" s="757"/>
      <c r="D21" s="649">
        <f>T(氏名7)</f>
      </c>
      <c r="E21" s="649"/>
      <c r="F21" s="649"/>
      <c r="G21" s="649"/>
      <c r="H21" s="46" t="s">
        <v>1134</v>
      </c>
      <c r="I21" s="760">
        <f>T(住所7)</f>
      </c>
      <c r="J21" s="761"/>
      <c r="K21" s="761"/>
      <c r="L21" s="761"/>
      <c r="M21" s="761"/>
      <c r="N21" s="761"/>
      <c r="O21" s="762"/>
    </row>
    <row r="22" spans="1:15" ht="18.75" customHeight="1">
      <c r="A22" s="755">
        <f>T(管理責任者8)</f>
      </c>
      <c r="B22" s="756"/>
      <c r="C22" s="757"/>
      <c r="D22" s="649">
        <f>T(氏名8)</f>
      </c>
      <c r="E22" s="649"/>
      <c r="F22" s="649"/>
      <c r="G22" s="649"/>
      <c r="H22" s="46" t="s">
        <v>1134</v>
      </c>
      <c r="I22" s="760">
        <f>T(住所8)</f>
      </c>
      <c r="J22" s="761"/>
      <c r="K22" s="761"/>
      <c r="L22" s="761"/>
      <c r="M22" s="761"/>
      <c r="N22" s="761"/>
      <c r="O22" s="762"/>
    </row>
    <row r="23" spans="1:15" ht="18.75" customHeight="1">
      <c r="A23" s="755">
        <f>T(管理責任者9)</f>
      </c>
      <c r="B23" s="756"/>
      <c r="C23" s="757"/>
      <c r="D23" s="649">
        <f>T(氏名9)</f>
      </c>
      <c r="E23" s="649"/>
      <c r="F23" s="649"/>
      <c r="G23" s="649"/>
      <c r="H23" s="46" t="s">
        <v>1134</v>
      </c>
      <c r="I23" s="760">
        <f>T(住所9)</f>
      </c>
      <c r="J23" s="761"/>
      <c r="K23" s="761"/>
      <c r="L23" s="761"/>
      <c r="M23" s="761"/>
      <c r="N23" s="761"/>
      <c r="O23" s="762"/>
    </row>
    <row r="24" spans="1:15" ht="18.75" customHeight="1">
      <c r="A24" s="755">
        <f>T(管理責任者10)</f>
      </c>
      <c r="B24" s="756"/>
      <c r="C24" s="757"/>
      <c r="D24" s="649">
        <f>T(氏名10)</f>
      </c>
      <c r="E24" s="649"/>
      <c r="F24" s="649"/>
      <c r="G24" s="649"/>
      <c r="H24" s="46" t="s">
        <v>1134</v>
      </c>
      <c r="I24" s="760">
        <f>T(住所10)</f>
      </c>
      <c r="J24" s="761"/>
      <c r="K24" s="761"/>
      <c r="L24" s="761"/>
      <c r="M24" s="761"/>
      <c r="N24" s="761"/>
      <c r="O24" s="762"/>
    </row>
    <row r="25" spans="1:15" ht="18.75" customHeight="1">
      <c r="A25" s="755">
        <f>T(管理責任者11)</f>
      </c>
      <c r="B25" s="756"/>
      <c r="C25" s="757"/>
      <c r="D25" s="649">
        <f>T(氏名11)</f>
      </c>
      <c r="E25" s="649"/>
      <c r="F25" s="649"/>
      <c r="G25" s="649"/>
      <c r="H25" s="46" t="s">
        <v>1134</v>
      </c>
      <c r="I25" s="760">
        <f>T(住所11)</f>
      </c>
      <c r="J25" s="761"/>
      <c r="K25" s="761"/>
      <c r="L25" s="761"/>
      <c r="M25" s="761"/>
      <c r="N25" s="761"/>
      <c r="O25" s="762"/>
    </row>
    <row r="26" spans="1:15" ht="18.75" customHeight="1">
      <c r="A26" s="751">
        <f>T(管理責任者12)</f>
      </c>
      <c r="B26" s="708"/>
      <c r="C26" s="708"/>
      <c r="D26" s="708">
        <f>T(氏名12)</f>
      </c>
      <c r="E26" s="708"/>
      <c r="F26" s="708"/>
      <c r="G26" s="708"/>
      <c r="H26" s="262" t="s">
        <v>860</v>
      </c>
      <c r="I26" s="706">
        <f>T(住所12)</f>
      </c>
      <c r="J26" s="706"/>
      <c r="K26" s="706"/>
      <c r="L26" s="706"/>
      <c r="M26" s="706"/>
      <c r="N26" s="706"/>
      <c r="O26" s="709"/>
    </row>
    <row r="27" ht="18.75" customHeight="1"/>
    <row r="28" spans="1:15" ht="18.75" customHeight="1">
      <c r="A28" s="3" t="s">
        <v>1154</v>
      </c>
      <c r="B28" s="1" t="s">
        <v>1159</v>
      </c>
      <c r="F28" s="15" t="s">
        <v>1160</v>
      </c>
      <c r="G28" s="759">
        <f>貸付機械の保管場所</f>
        <v>0</v>
      </c>
      <c r="H28" s="759"/>
      <c r="I28" s="759"/>
      <c r="J28" s="759"/>
      <c r="K28" s="759"/>
      <c r="L28" s="759"/>
      <c r="M28" s="759"/>
      <c r="N28" s="759"/>
      <c r="O28" s="759"/>
    </row>
    <row r="29" spans="1:15" ht="25.5" customHeight="1">
      <c r="A29" s="3" t="s">
        <v>1161</v>
      </c>
      <c r="B29" s="671" t="s">
        <v>196</v>
      </c>
      <c r="C29" s="671"/>
      <c r="D29" s="671"/>
      <c r="E29" s="671"/>
      <c r="F29" s="671"/>
      <c r="G29" s="671"/>
      <c r="H29" s="671"/>
      <c r="I29" s="671"/>
      <c r="J29" s="671"/>
      <c r="K29" s="671"/>
      <c r="L29" s="671"/>
      <c r="M29" s="671"/>
      <c r="N29" s="671"/>
      <c r="O29" s="671"/>
    </row>
    <row r="30" spans="1:15" ht="43.5" customHeight="1">
      <c r="A30" s="3" t="s">
        <v>1162</v>
      </c>
      <c r="B30" s="749" t="s">
        <v>197</v>
      </c>
      <c r="C30" s="749"/>
      <c r="D30" s="749"/>
      <c r="E30" s="749"/>
      <c r="F30" s="749"/>
      <c r="G30" s="749"/>
      <c r="H30" s="749"/>
      <c r="I30" s="749"/>
      <c r="J30" s="749"/>
      <c r="K30" s="749"/>
      <c r="L30" s="749"/>
      <c r="M30" s="749"/>
      <c r="N30" s="749"/>
      <c r="O30" s="749"/>
    </row>
    <row r="31" spans="1:15" ht="18.75" customHeight="1">
      <c r="A31" s="3" t="s">
        <v>1163</v>
      </c>
      <c r="B31" s="671" t="s">
        <v>216</v>
      </c>
      <c r="C31" s="671"/>
      <c r="D31" s="671"/>
      <c r="E31" s="671"/>
      <c r="F31" s="671"/>
      <c r="G31" s="671"/>
      <c r="H31" s="671"/>
      <c r="I31" s="671"/>
      <c r="J31" s="671"/>
      <c r="K31" s="671"/>
      <c r="L31" s="671"/>
      <c r="M31" s="671"/>
      <c r="N31" s="671"/>
      <c r="O31" s="671"/>
    </row>
    <row r="32" spans="1:15" ht="30" customHeight="1">
      <c r="A32" s="3" t="s">
        <v>1164</v>
      </c>
      <c r="B32" s="749" t="s">
        <v>217</v>
      </c>
      <c r="C32" s="749"/>
      <c r="D32" s="749"/>
      <c r="E32" s="749"/>
      <c r="F32" s="749"/>
      <c r="G32" s="749"/>
      <c r="H32" s="749"/>
      <c r="I32" s="749"/>
      <c r="J32" s="749"/>
      <c r="K32" s="749"/>
      <c r="L32" s="749"/>
      <c r="M32" s="749"/>
      <c r="N32" s="749"/>
      <c r="O32" s="749"/>
    </row>
    <row r="33" spans="2:15" ht="30" customHeight="1">
      <c r="B33" s="749"/>
      <c r="C33" s="749"/>
      <c r="D33" s="749"/>
      <c r="E33" s="749"/>
      <c r="F33" s="749"/>
      <c r="G33" s="749"/>
      <c r="H33" s="749"/>
      <c r="I33" s="749"/>
      <c r="J33" s="749"/>
      <c r="K33" s="749"/>
      <c r="L33" s="749"/>
      <c r="M33" s="749"/>
      <c r="N33" s="749"/>
      <c r="O33" s="749"/>
    </row>
    <row r="34" spans="1:15" ht="18.75" customHeight="1">
      <c r="A34" s="3" t="s">
        <v>1165</v>
      </c>
      <c r="B34" s="2" t="s">
        <v>1166</v>
      </c>
      <c r="C34" s="2"/>
      <c r="D34" s="2" t="s">
        <v>847</v>
      </c>
      <c r="E34" s="2"/>
      <c r="F34" s="2"/>
      <c r="G34" s="2"/>
      <c r="H34" s="2"/>
      <c r="I34" s="2"/>
      <c r="J34" s="2"/>
      <c r="K34" s="2"/>
      <c r="L34" s="2"/>
      <c r="M34" s="2"/>
      <c r="N34" s="2"/>
      <c r="O34" s="2"/>
    </row>
    <row r="35" ht="18.75" customHeight="1"/>
    <row r="36" spans="6:15" ht="24" customHeight="1">
      <c r="F36" s="1" t="s">
        <v>1167</v>
      </c>
      <c r="I36" s="260" t="s">
        <v>1160</v>
      </c>
      <c r="J36" s="673">
        <f>住所_住所</f>
        <v>0</v>
      </c>
      <c r="K36" s="673"/>
      <c r="L36" s="673"/>
      <c r="M36" s="673"/>
      <c r="N36" s="673"/>
      <c r="O36" s="673"/>
    </row>
    <row r="37" spans="9:15" ht="39.75" customHeight="1">
      <c r="I37" s="750" t="s">
        <v>82</v>
      </c>
      <c r="J37" s="758">
        <f>借受者名_漢字</f>
        <v>0</v>
      </c>
      <c r="K37" s="758"/>
      <c r="L37" s="758"/>
      <c r="M37" s="758"/>
      <c r="N37" s="758"/>
      <c r="O37" s="750" t="s">
        <v>1134</v>
      </c>
    </row>
    <row r="38" spans="9:15" ht="39.75" customHeight="1">
      <c r="I38" s="750"/>
      <c r="J38" s="750">
        <f>T(代表者名_漢字)</f>
      </c>
      <c r="K38" s="750"/>
      <c r="L38" s="750"/>
      <c r="M38" s="750"/>
      <c r="N38" s="750"/>
      <c r="O38" s="750"/>
    </row>
    <row r="40" spans="1:15" ht="20.25" customHeight="1">
      <c r="A40" s="652" t="s">
        <v>721</v>
      </c>
      <c r="B40" s="652"/>
      <c r="C40" s="652"/>
      <c r="D40" s="652"/>
      <c r="E40" s="652"/>
      <c r="F40" s="652"/>
      <c r="G40" s="652"/>
      <c r="H40" s="652"/>
      <c r="I40" s="652"/>
      <c r="J40" s="652"/>
      <c r="K40" s="652"/>
      <c r="L40" s="652"/>
      <c r="M40" s="652"/>
      <c r="N40" s="652"/>
      <c r="O40" s="652"/>
    </row>
    <row r="44" s="8" customFormat="1" ht="20.25" customHeight="1"/>
    <row r="45" s="8" customFormat="1" ht="20.25" customHeight="1"/>
    <row r="46" s="8" customFormat="1" ht="20.25" customHeight="1"/>
    <row r="47" s="8" customFormat="1" ht="20.25" customHeight="1"/>
    <row r="48" s="8" customFormat="1" ht="20.25" customHeight="1"/>
    <row r="49" s="8" customFormat="1" ht="20.25" customHeight="1"/>
    <row r="50" s="8" customFormat="1" ht="20.25" customHeight="1"/>
    <row r="51" s="8" customFormat="1" ht="20.25" customHeight="1"/>
    <row r="52" s="8" customFormat="1" ht="20.25" customHeight="1"/>
    <row r="53" s="8" customFormat="1" ht="20.25" customHeight="1"/>
    <row r="54" s="8" customFormat="1" ht="20.25" customHeight="1"/>
    <row r="55" s="8" customFormat="1" ht="20.25" customHeight="1"/>
    <row r="56" s="8" customFormat="1" ht="20.25" customHeight="1"/>
    <row r="57" s="8" customFormat="1" ht="20.25" customHeight="1"/>
    <row r="58" s="8" customFormat="1" ht="20.25" customHeight="1"/>
    <row r="59" s="8" customFormat="1" ht="20.25" customHeight="1"/>
    <row r="60" s="8" customFormat="1" ht="20.25" customHeight="1"/>
    <row r="61" s="8" customFormat="1" ht="20.25" customHeight="1"/>
    <row r="62" s="8" customFormat="1" ht="20.25" customHeight="1"/>
    <row r="63" s="8" customFormat="1" ht="20.25" customHeight="1"/>
    <row r="64" s="8" customFormat="1" ht="20.25" customHeight="1"/>
    <row r="65" s="8" customFormat="1" ht="20.25" customHeight="1"/>
    <row r="66" s="8" customFormat="1" ht="20.25" customHeight="1"/>
    <row r="67" s="8" customFormat="1" ht="20.25" customHeight="1"/>
  </sheetData>
  <sheetProtection password="C704" sheet="1" selectLockedCells="1" selectUnlockedCells="1"/>
  <mergeCells count="63">
    <mergeCell ref="I22:O22"/>
    <mergeCell ref="D21:G21"/>
    <mergeCell ref="D22:G22"/>
    <mergeCell ref="A25:C25"/>
    <mergeCell ref="D25:G25"/>
    <mergeCell ref="A21:C21"/>
    <mergeCell ref="D23:G23"/>
    <mergeCell ref="D24:G24"/>
    <mergeCell ref="A22:C22"/>
    <mergeCell ref="I25:O25"/>
    <mergeCell ref="A23:C23"/>
    <mergeCell ref="I23:O23"/>
    <mergeCell ref="A24:C24"/>
    <mergeCell ref="I24:O24"/>
    <mergeCell ref="I19:O19"/>
    <mergeCell ref="A20:C20"/>
    <mergeCell ref="I20:O20"/>
    <mergeCell ref="D19:G19"/>
    <mergeCell ref="D20:G20"/>
    <mergeCell ref="I21:O21"/>
    <mergeCell ref="D15:G15"/>
    <mergeCell ref="D16:G16"/>
    <mergeCell ref="M1:O1"/>
    <mergeCell ref="A3:O3"/>
    <mergeCell ref="E4:F4"/>
    <mergeCell ref="G4:K4"/>
    <mergeCell ref="A6:O7"/>
    <mergeCell ref="A10:D10"/>
    <mergeCell ref="E10:G10"/>
    <mergeCell ref="A14:C14"/>
    <mergeCell ref="I14:O14"/>
    <mergeCell ref="A15:C15"/>
    <mergeCell ref="I15:O15"/>
    <mergeCell ref="D14:H14"/>
    <mergeCell ref="H10:J10"/>
    <mergeCell ref="K10:N10"/>
    <mergeCell ref="I26:O26"/>
    <mergeCell ref="A16:C16"/>
    <mergeCell ref="I16:O16"/>
    <mergeCell ref="A17:C17"/>
    <mergeCell ref="I17:O17"/>
    <mergeCell ref="A18:C18"/>
    <mergeCell ref="I18:O18"/>
    <mergeCell ref="D17:G17"/>
    <mergeCell ref="D18:G18"/>
    <mergeCell ref="A19:C19"/>
    <mergeCell ref="A40:O40"/>
    <mergeCell ref="J36:O36"/>
    <mergeCell ref="I37:I38"/>
    <mergeCell ref="J37:N37"/>
    <mergeCell ref="A26:C26"/>
    <mergeCell ref="D26:G26"/>
    <mergeCell ref="G28:O28"/>
    <mergeCell ref="B30:O30"/>
    <mergeCell ref="A11:D11"/>
    <mergeCell ref="E11:G11"/>
    <mergeCell ref="H11:J11"/>
    <mergeCell ref="K11:N11"/>
    <mergeCell ref="B29:O29"/>
    <mergeCell ref="B31:O31"/>
    <mergeCell ref="B32:O33"/>
    <mergeCell ref="O37:O38"/>
    <mergeCell ref="J38:N38"/>
  </mergeCells>
  <printOptions horizontalCentered="1"/>
  <pageMargins left="0.9055118110236221" right="0.7874015748031497" top="0.7874015748031497" bottom="0.7874015748031497" header="0.5118110236220472" footer="0.5118110236220472"/>
  <pageSetup blackAndWhite="1" fitToHeight="1" fitToWidth="1" horizontalDpi="300" verticalDpi="300" orientation="portrait" paperSize="9" scale="90" r:id="rId1"/>
  <rowBreaks count="1" manualBreakCount="1">
    <brk id="35" max="255" man="1"/>
  </rowBreaks>
  <colBreaks count="1" manualBreakCount="1">
    <brk id="9" max="65535" man="1"/>
  </colBreaks>
</worksheet>
</file>

<file path=xl/worksheets/sheet9.xml><?xml version="1.0" encoding="utf-8"?>
<worksheet xmlns="http://schemas.openxmlformats.org/spreadsheetml/2006/main" xmlns:r="http://schemas.openxmlformats.org/officeDocument/2006/relationships">
  <sheetPr codeName="shtYoshiki50">
    <pageSetUpPr fitToPage="1"/>
  </sheetPr>
  <dimension ref="A1:I43"/>
  <sheetViews>
    <sheetView view="pageBreakPreview" zoomScaleSheetLayoutView="100" zoomScalePageLayoutView="0" workbookViewId="0" topLeftCell="A10">
      <selection activeCell="F31" sqref="F31"/>
    </sheetView>
  </sheetViews>
  <sheetFormatPr defaultColWidth="9.00390625" defaultRowHeight="21" customHeight="1"/>
  <cols>
    <col min="1" max="1" width="9.00390625" style="1" customWidth="1"/>
    <col min="2" max="2" width="11.125" style="1" bestFit="1" customWidth="1"/>
    <col min="3" max="3" width="9.25390625" style="1" customWidth="1"/>
    <col min="4" max="4" width="5.875" style="1" customWidth="1"/>
    <col min="5" max="5" width="6.75390625" style="1" customWidth="1"/>
    <col min="6" max="6" width="26.875" style="1" customWidth="1"/>
    <col min="7" max="8" width="7.00390625" style="1" customWidth="1"/>
    <col min="9" max="9" width="14.00390625" style="1" customWidth="1"/>
    <col min="10" max="16384" width="9.00390625" style="1" customWidth="1"/>
  </cols>
  <sheetData>
    <row r="1" spans="1:9" ht="21" customHeight="1">
      <c r="A1" s="1" t="s">
        <v>848</v>
      </c>
      <c r="G1" s="655">
        <f>申請月日</f>
        <v>0</v>
      </c>
      <c r="H1" s="655"/>
      <c r="I1" s="655"/>
    </row>
    <row r="2" spans="7:9" ht="21" customHeight="1">
      <c r="G2" s="16"/>
      <c r="H2" s="16"/>
      <c r="I2" s="16"/>
    </row>
    <row r="3" spans="1:9" ht="21" customHeight="1">
      <c r="A3" s="680" t="s">
        <v>683</v>
      </c>
      <c r="B3" s="680"/>
      <c r="C3" s="680"/>
      <c r="D3" s="680"/>
      <c r="E3" s="680"/>
      <c r="F3" s="680"/>
      <c r="G3" s="680"/>
      <c r="H3" s="680"/>
      <c r="I3" s="680"/>
    </row>
    <row r="4" spans="1:9" ht="20.25" customHeight="1">
      <c r="A4" s="4"/>
      <c r="B4" s="4"/>
      <c r="C4" s="14" t="s">
        <v>218</v>
      </c>
      <c r="D4" s="652" t="str">
        <f>事業名</f>
        <v>畜産排水対策緊急支援事業</v>
      </c>
      <c r="E4" s="652"/>
      <c r="F4" s="652"/>
      <c r="G4" s="206" t="s">
        <v>688</v>
      </c>
      <c r="H4" s="4"/>
      <c r="I4" s="4"/>
    </row>
    <row r="5" spans="1:9" ht="20.25" customHeight="1">
      <c r="A5" s="4"/>
      <c r="B5" s="4"/>
      <c r="C5" s="99"/>
      <c r="D5" s="23"/>
      <c r="E5" s="23"/>
      <c r="F5" s="23"/>
      <c r="G5" s="98"/>
      <c r="H5" s="4"/>
      <c r="I5" s="4"/>
    </row>
    <row r="6" spans="1:4" ht="19.5" customHeight="1">
      <c r="A6" s="670" t="s">
        <v>303</v>
      </c>
      <c r="B6" s="670"/>
      <c r="C6" s="670"/>
      <c r="D6" s="670"/>
    </row>
    <row r="7" spans="1:6" ht="19.5" customHeight="1">
      <c r="A7" s="816" t="s">
        <v>304</v>
      </c>
      <c r="B7" s="816"/>
      <c r="C7" s="670" t="s">
        <v>305</v>
      </c>
      <c r="D7" s="670"/>
      <c r="E7" s="1" t="s">
        <v>1130</v>
      </c>
      <c r="F7" s="14" t="s">
        <v>306</v>
      </c>
    </row>
    <row r="8" spans="1:9" ht="19.5" customHeight="1">
      <c r="A8" s="14"/>
      <c r="B8" s="14"/>
      <c r="C8" s="3"/>
      <c r="D8" s="3"/>
      <c r="F8" s="14" t="s">
        <v>307</v>
      </c>
      <c r="G8" s="806">
        <f>IF(借受団体_団体名="","",借受団体_団体名)</f>
      </c>
      <c r="H8" s="806"/>
      <c r="I8" s="806"/>
    </row>
    <row r="9" spans="1:9" ht="19.5" customHeight="1">
      <c r="A9" s="14"/>
      <c r="B9" s="14"/>
      <c r="C9" s="3"/>
      <c r="D9" s="3"/>
      <c r="F9" s="14" t="s">
        <v>308</v>
      </c>
      <c r="G9" s="806">
        <f>IF(借受団体_農協担当部署="","",借受団体_農協担当部署)</f>
      </c>
      <c r="H9" s="806"/>
      <c r="I9" s="806"/>
    </row>
    <row r="10" spans="6:9" ht="19.5" customHeight="1">
      <c r="F10" s="14" t="s">
        <v>309</v>
      </c>
      <c r="G10" s="652">
        <f>IF(借受団体_担当者名="","",借受団体_担当者名)</f>
      </c>
      <c r="H10" s="652"/>
      <c r="I10" s="23" t="s">
        <v>1134</v>
      </c>
    </row>
    <row r="11" spans="6:9" ht="19.5" customHeight="1">
      <c r="F11" s="14" t="s">
        <v>85</v>
      </c>
      <c r="G11" s="652">
        <f>IF(借受団体_部署電話="","",借受団体_部署電話)</f>
      </c>
      <c r="H11" s="652"/>
      <c r="I11" s="652"/>
    </row>
    <row r="12" ht="19.5" customHeight="1"/>
    <row r="13" spans="1:9" ht="21" customHeight="1">
      <c r="A13" s="829" t="s">
        <v>84</v>
      </c>
      <c r="B13" s="830"/>
      <c r="C13" s="831">
        <f>IF(借受団体_団体名="","",借受団体_団体名)</f>
      </c>
      <c r="D13" s="832"/>
      <c r="E13" s="832"/>
      <c r="F13" s="832"/>
      <c r="G13" s="832"/>
      <c r="H13" s="833"/>
      <c r="I13" s="35" t="s">
        <v>92</v>
      </c>
    </row>
    <row r="14" spans="1:9" ht="21" customHeight="1">
      <c r="A14" s="834" t="s">
        <v>88</v>
      </c>
      <c r="B14" s="34" t="s">
        <v>849</v>
      </c>
      <c r="C14" s="804">
        <f>IF(借受者名_カナ="","",借受者名_カナ)</f>
      </c>
      <c r="D14" s="805"/>
      <c r="E14" s="805"/>
      <c r="F14" s="805"/>
      <c r="G14" s="805"/>
      <c r="H14" s="46" t="s">
        <v>1120</v>
      </c>
      <c r="I14" s="798">
        <f>IF(組合員の加入時期="","",組合員の加入時期)</f>
        <v>0</v>
      </c>
    </row>
    <row r="15" spans="1:9" ht="21" customHeight="1">
      <c r="A15" s="834"/>
      <c r="B15" s="95" t="s">
        <v>755</v>
      </c>
      <c r="C15" s="804">
        <f>IF(借受者名_漢字="","",借受者名_漢字)</f>
      </c>
      <c r="D15" s="805"/>
      <c r="E15" s="805"/>
      <c r="F15" s="805"/>
      <c r="G15" s="805"/>
      <c r="H15" s="801">
        <f>IF(年齢="","",年齢)</f>
        <v>0</v>
      </c>
      <c r="I15" s="799"/>
    </row>
    <row r="16" spans="1:9" ht="21" customHeight="1">
      <c r="A16" s="834"/>
      <c r="B16" s="34" t="s">
        <v>850</v>
      </c>
      <c r="C16" s="804">
        <f>IF(代表者名_カナ="","",代表者名_カナ)</f>
      </c>
      <c r="D16" s="805"/>
      <c r="E16" s="805"/>
      <c r="F16" s="805"/>
      <c r="G16" s="805"/>
      <c r="H16" s="802"/>
      <c r="I16" s="799"/>
    </row>
    <row r="17" spans="1:9" ht="21" customHeight="1">
      <c r="A17" s="834"/>
      <c r="B17" s="34" t="s">
        <v>667</v>
      </c>
      <c r="C17" s="804">
        <f>IF(代表者名_漢字="","",代表者名_漢字)</f>
      </c>
      <c r="D17" s="761"/>
      <c r="E17" s="761"/>
      <c r="F17" s="761"/>
      <c r="G17" s="761"/>
      <c r="H17" s="803"/>
      <c r="I17" s="799"/>
    </row>
    <row r="18" spans="1:9" ht="21" customHeight="1">
      <c r="A18" s="834"/>
      <c r="B18" s="34" t="s">
        <v>87</v>
      </c>
      <c r="C18" s="760">
        <f>IF(住所_住所="","",住所_住所)</f>
      </c>
      <c r="D18" s="761"/>
      <c r="E18" s="761"/>
      <c r="F18" s="761"/>
      <c r="G18" s="761"/>
      <c r="H18" s="839"/>
      <c r="I18" s="799"/>
    </row>
    <row r="19" spans="1:9" ht="21" customHeight="1">
      <c r="A19" s="834"/>
      <c r="B19" s="34" t="s">
        <v>85</v>
      </c>
      <c r="C19" s="760">
        <f>IF(電話番号="","",電話番号)</f>
      </c>
      <c r="D19" s="761"/>
      <c r="E19" s="761"/>
      <c r="F19" s="761"/>
      <c r="G19" s="761"/>
      <c r="H19" s="839"/>
      <c r="I19" s="800"/>
    </row>
    <row r="20" spans="1:9" ht="21" customHeight="1">
      <c r="A20" s="809" t="s">
        <v>86</v>
      </c>
      <c r="B20" s="781"/>
      <c r="C20" s="34" t="s">
        <v>89</v>
      </c>
      <c r="D20" s="28">
        <f>IF(COUNTIF(後継者,"*有*"),"○","")</f>
      </c>
      <c r="E20" s="28" t="s">
        <v>723</v>
      </c>
      <c r="F20" s="27" t="s">
        <v>91</v>
      </c>
      <c r="G20" s="827">
        <f>IF(後継者との関係="","",後継者との関係)</f>
      </c>
      <c r="H20" s="827"/>
      <c r="I20" s="30"/>
    </row>
    <row r="21" spans="1:9" ht="21" customHeight="1">
      <c r="A21" s="825"/>
      <c r="B21" s="826"/>
      <c r="C21" s="36" t="s">
        <v>90</v>
      </c>
      <c r="D21" s="31">
        <f>IF(COUNTIF(後継者,"*無*"),"○","")</f>
      </c>
      <c r="E21" s="807"/>
      <c r="F21" s="807"/>
      <c r="G21" s="807"/>
      <c r="H21" s="807"/>
      <c r="I21" s="808"/>
    </row>
    <row r="22" spans="1:9" ht="18.75" customHeight="1">
      <c r="A22" s="612" t="s">
        <v>93</v>
      </c>
      <c r="B22" s="594"/>
      <c r="C22" s="42" t="s">
        <v>95</v>
      </c>
      <c r="D22" s="828"/>
      <c r="E22" s="828"/>
      <c r="F22" s="37">
        <f>IF(営農上の収支状況_法人の場合の資本金=0,"",営農上の収支状況_法人の場合の資本金)</f>
      </c>
      <c r="G22" s="38" t="s">
        <v>1139</v>
      </c>
      <c r="H22" s="38"/>
      <c r="I22" s="39"/>
    </row>
    <row r="23" spans="1:9" ht="18.75" customHeight="1">
      <c r="A23" s="812" t="s">
        <v>94</v>
      </c>
      <c r="B23" s="813"/>
      <c r="C23" s="814" t="s">
        <v>96</v>
      </c>
      <c r="D23" s="819">
        <f>IF(営農上の収支状況_法人の構成比="","",営農上の収支状況_法人の構成比)</f>
      </c>
      <c r="E23" s="819"/>
      <c r="F23" s="819"/>
      <c r="G23" s="819"/>
      <c r="H23" s="819"/>
      <c r="I23" s="820"/>
    </row>
    <row r="24" spans="1:9" ht="18.75" customHeight="1">
      <c r="A24" s="812"/>
      <c r="B24" s="813"/>
      <c r="C24" s="815"/>
      <c r="D24" s="821"/>
      <c r="E24" s="821"/>
      <c r="F24" s="821"/>
      <c r="G24" s="821"/>
      <c r="H24" s="821"/>
      <c r="I24" s="822"/>
    </row>
    <row r="25" spans="1:9" ht="18.75" customHeight="1">
      <c r="A25" s="812"/>
      <c r="B25" s="813"/>
      <c r="C25" s="815"/>
      <c r="D25" s="823"/>
      <c r="E25" s="823"/>
      <c r="F25" s="823"/>
      <c r="G25" s="823"/>
      <c r="H25" s="823"/>
      <c r="I25" s="824"/>
    </row>
    <row r="26" spans="1:9" ht="18.75" customHeight="1">
      <c r="A26" s="809" t="s">
        <v>97</v>
      </c>
      <c r="B26" s="781"/>
      <c r="C26" s="43"/>
      <c r="D26" s="29">
        <f>'借受者記入項目'!S79</f>
        <v>0</v>
      </c>
      <c r="E26" s="29" t="s">
        <v>98</v>
      </c>
      <c r="F26" s="40" t="s">
        <v>99</v>
      </c>
      <c r="G26" s="29">
        <f>IF(労働力_家族="","",労働力_家族)</f>
      </c>
      <c r="H26" s="29" t="s">
        <v>98</v>
      </c>
      <c r="I26" s="30"/>
    </row>
    <row r="27" spans="1:9" ht="18.75" customHeight="1">
      <c r="A27" s="810"/>
      <c r="B27" s="811"/>
      <c r="C27" s="44"/>
      <c r="D27" s="32"/>
      <c r="E27" s="32"/>
      <c r="F27" s="41" t="s">
        <v>100</v>
      </c>
      <c r="G27" s="32">
        <f>IF(労働力_雇用="","",労働力_雇用)</f>
      </c>
      <c r="H27" s="32" t="s">
        <v>98</v>
      </c>
      <c r="I27" s="33"/>
    </row>
    <row r="28" spans="1:9" ht="21" customHeight="1">
      <c r="A28" s="777" t="s">
        <v>101</v>
      </c>
      <c r="B28" s="778"/>
      <c r="C28" s="594" t="s">
        <v>103</v>
      </c>
      <c r="D28" s="594"/>
      <c r="E28" s="594"/>
      <c r="F28" s="24" t="s">
        <v>105</v>
      </c>
      <c r="G28" s="594" t="s">
        <v>296</v>
      </c>
      <c r="H28" s="594"/>
      <c r="I28" s="595"/>
    </row>
    <row r="29" spans="1:9" ht="21" customHeight="1">
      <c r="A29" s="779"/>
      <c r="B29" s="780"/>
      <c r="C29" s="817">
        <f>IF(営農上の収支状況_売上収入="","",営農上の収支状況_売上収入)</f>
      </c>
      <c r="D29" s="817"/>
      <c r="E29" s="817"/>
      <c r="F29" s="45">
        <f>IF(営農上の収支状況_営業収益="","",営農上の収支状況_営業収益)</f>
      </c>
      <c r="G29" s="817">
        <f>IF(営農上の収支状況_損益="","",営農上の収支状況_損益)</f>
      </c>
      <c r="H29" s="817"/>
      <c r="I29" s="818"/>
    </row>
    <row r="30" spans="1:9" ht="21" customHeight="1">
      <c r="A30" s="835" t="s">
        <v>102</v>
      </c>
      <c r="B30" s="836"/>
      <c r="C30" s="781" t="s">
        <v>104</v>
      </c>
      <c r="D30" s="781"/>
      <c r="E30" s="781"/>
      <c r="F30" s="46" t="s">
        <v>295</v>
      </c>
      <c r="G30" s="781" t="s">
        <v>297</v>
      </c>
      <c r="H30" s="781"/>
      <c r="I30" s="840"/>
    </row>
    <row r="31" spans="1:9" ht="21" customHeight="1">
      <c r="A31" s="837"/>
      <c r="B31" s="838"/>
      <c r="C31" s="817">
        <f>IF(営農上の収支状況_借入金総額="","",営農上の収支状況_借入金総額)</f>
      </c>
      <c r="D31" s="817"/>
      <c r="E31" s="817"/>
      <c r="F31" s="335" t="e">
        <f>C31/C29</f>
        <v>#VALUE!</v>
      </c>
      <c r="G31" s="817">
        <f>IF(営農上の収支状況_繰越損益="","",営農上の収支状況_繰越損益)</f>
      </c>
      <c r="H31" s="817"/>
      <c r="I31" s="818"/>
    </row>
    <row r="32" spans="1:9" ht="21" customHeight="1">
      <c r="A32" s="784" t="s">
        <v>302</v>
      </c>
      <c r="B32" s="785"/>
      <c r="C32" s="781" t="s">
        <v>298</v>
      </c>
      <c r="D32" s="788">
        <f>IF(営農上の収支状況_所見="","",営農上の収支状況_所見)</f>
      </c>
      <c r="E32" s="789"/>
      <c r="F32" s="789"/>
      <c r="G32" s="789"/>
      <c r="H32" s="789"/>
      <c r="I32" s="790"/>
    </row>
    <row r="33" spans="1:9" ht="21" customHeight="1">
      <c r="A33" s="779"/>
      <c r="B33" s="780"/>
      <c r="C33" s="781"/>
      <c r="D33" s="791"/>
      <c r="E33" s="739"/>
      <c r="F33" s="739"/>
      <c r="G33" s="739"/>
      <c r="H33" s="739"/>
      <c r="I33" s="792"/>
    </row>
    <row r="34" spans="1:9" ht="21" customHeight="1">
      <c r="A34" s="779"/>
      <c r="B34" s="780"/>
      <c r="C34" s="781"/>
      <c r="D34" s="793"/>
      <c r="E34" s="794"/>
      <c r="F34" s="794"/>
      <c r="G34" s="794"/>
      <c r="H34" s="794"/>
      <c r="I34" s="795"/>
    </row>
    <row r="35" spans="1:9" ht="21" customHeight="1">
      <c r="A35" s="779"/>
      <c r="B35" s="780"/>
      <c r="C35" s="796" t="s">
        <v>299</v>
      </c>
      <c r="D35" s="796"/>
      <c r="E35" s="796"/>
      <c r="F35" s="796"/>
      <c r="G35" s="796"/>
      <c r="H35" s="796"/>
      <c r="I35" s="797"/>
    </row>
    <row r="36" spans="1:9" ht="21" customHeight="1">
      <c r="A36" s="779"/>
      <c r="B36" s="780"/>
      <c r="C36" s="782" t="s">
        <v>300</v>
      </c>
      <c r="D36" s="782"/>
      <c r="E36" s="783">
        <f>借受団体_団体名</f>
        <v>0</v>
      </c>
      <c r="F36" s="758"/>
      <c r="G36" s="758"/>
      <c r="H36" s="758"/>
      <c r="I36" s="12"/>
    </row>
    <row r="37" spans="1:9" ht="21" customHeight="1">
      <c r="A37" s="779"/>
      <c r="B37" s="780"/>
      <c r="C37" s="782" t="s">
        <v>301</v>
      </c>
      <c r="D37" s="782"/>
      <c r="E37" s="783">
        <f>T(借受団体_代表者区分)</f>
      </c>
      <c r="F37" s="758"/>
      <c r="G37" s="758"/>
      <c r="H37" s="758"/>
      <c r="I37" s="12" t="s">
        <v>1134</v>
      </c>
    </row>
    <row r="38" spans="1:9" ht="21" customHeight="1">
      <c r="A38" s="786"/>
      <c r="B38" s="787"/>
      <c r="C38" s="47"/>
      <c r="D38" s="48"/>
      <c r="E38" s="765">
        <f>T(借受団体_代表者名)</f>
      </c>
      <c r="F38" s="766"/>
      <c r="G38" s="766"/>
      <c r="H38" s="766"/>
      <c r="I38" s="13"/>
    </row>
    <row r="39" spans="1:9" ht="21" customHeight="1">
      <c r="A39" s="767" t="s">
        <v>689</v>
      </c>
      <c r="B39" s="768"/>
      <c r="C39" s="24" t="s">
        <v>1121</v>
      </c>
      <c r="D39" s="24">
        <f>IF(COUNTIF(現地納入業者に対する与信,"*あり*"),"○","")</f>
      </c>
      <c r="E39" s="771" t="s">
        <v>298</v>
      </c>
      <c r="F39" s="773">
        <f>IF(所見="","",所見)</f>
      </c>
      <c r="G39" s="773"/>
      <c r="H39" s="773"/>
      <c r="I39" s="774"/>
    </row>
    <row r="40" spans="1:9" ht="21" customHeight="1">
      <c r="A40" s="769"/>
      <c r="B40" s="770"/>
      <c r="C40" s="26" t="s">
        <v>1122</v>
      </c>
      <c r="D40" s="26">
        <f>IF(COUNTIF(現地納入業者に対する与信,"*なし*"),"○","")</f>
      </c>
      <c r="E40" s="772"/>
      <c r="F40" s="775"/>
      <c r="G40" s="775"/>
      <c r="H40" s="775"/>
      <c r="I40" s="776"/>
    </row>
    <row r="42" spans="1:9" ht="21" customHeight="1">
      <c r="A42" s="652" t="s">
        <v>766</v>
      </c>
      <c r="B42" s="652"/>
      <c r="C42" s="652"/>
      <c r="D42" s="652"/>
      <c r="E42" s="652"/>
      <c r="F42" s="652"/>
      <c r="G42" s="652"/>
      <c r="H42" s="652"/>
      <c r="I42" s="652"/>
    </row>
    <row r="43" spans="1:9" ht="21" customHeight="1">
      <c r="A43" s="671"/>
      <c r="B43" s="671"/>
      <c r="C43" s="671"/>
      <c r="D43" s="671"/>
      <c r="E43" s="671"/>
      <c r="F43" s="671"/>
      <c r="G43" s="671"/>
      <c r="H43" s="671"/>
      <c r="I43" s="671"/>
    </row>
  </sheetData>
  <sheetProtection password="C704" sheet="1" selectLockedCells="1" selectUnlockedCells="1"/>
  <mergeCells count="54">
    <mergeCell ref="A30:B31"/>
    <mergeCell ref="C18:H18"/>
    <mergeCell ref="C19:H19"/>
    <mergeCell ref="C14:G14"/>
    <mergeCell ref="C31:E31"/>
    <mergeCell ref="G31:I31"/>
    <mergeCell ref="C28:E28"/>
    <mergeCell ref="C29:E29"/>
    <mergeCell ref="G30:I30"/>
    <mergeCell ref="G28:I28"/>
    <mergeCell ref="G29:I29"/>
    <mergeCell ref="G11:I11"/>
    <mergeCell ref="D23:I25"/>
    <mergeCell ref="A20:B21"/>
    <mergeCell ref="G20:H20"/>
    <mergeCell ref="A22:B22"/>
    <mergeCell ref="D22:E22"/>
    <mergeCell ref="A13:B13"/>
    <mergeCell ref="C13:H13"/>
    <mergeCell ref="A14:A19"/>
    <mergeCell ref="A6:D6"/>
    <mergeCell ref="A7:B7"/>
    <mergeCell ref="C7:D7"/>
    <mergeCell ref="C15:G15"/>
    <mergeCell ref="E21:I21"/>
    <mergeCell ref="A26:B27"/>
    <mergeCell ref="A23:B25"/>
    <mergeCell ref="C23:C25"/>
    <mergeCell ref="G1:I1"/>
    <mergeCell ref="A3:I3"/>
    <mergeCell ref="D4:F4"/>
    <mergeCell ref="I14:I19"/>
    <mergeCell ref="H15:H17"/>
    <mergeCell ref="C16:G16"/>
    <mergeCell ref="C17:G17"/>
    <mergeCell ref="G9:I9"/>
    <mergeCell ref="G8:I8"/>
    <mergeCell ref="G10:H10"/>
    <mergeCell ref="A28:B29"/>
    <mergeCell ref="C30:E30"/>
    <mergeCell ref="C37:D37"/>
    <mergeCell ref="E37:H37"/>
    <mergeCell ref="C32:C34"/>
    <mergeCell ref="E36:H36"/>
    <mergeCell ref="A32:B38"/>
    <mergeCell ref="D32:I34"/>
    <mergeCell ref="C35:I35"/>
    <mergeCell ref="C36:D36"/>
    <mergeCell ref="A42:I42"/>
    <mergeCell ref="A43:I43"/>
    <mergeCell ref="E38:H38"/>
    <mergeCell ref="A39:B40"/>
    <mergeCell ref="E39:E40"/>
    <mergeCell ref="F39:I40"/>
  </mergeCells>
  <printOptions horizontalCentered="1"/>
  <pageMargins left="0.8267716535433072" right="0.5511811023622047" top="1.0236220472440944" bottom="0.6692913385826772" header="0.5118110236220472" footer="0.5118110236220472"/>
  <pageSetup blackAndWhite="1"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本所農業機械課L4178P</dc:creator>
  <cp:keywords/>
  <dc:description/>
  <cp:lastModifiedBy>本所農業機械課L4178P</cp:lastModifiedBy>
  <cp:lastPrinted>2009-07-23T05:12:49Z</cp:lastPrinted>
  <dcterms:created xsi:type="dcterms:W3CDTF">2009-05-21T04:24:57Z</dcterms:created>
  <dcterms:modified xsi:type="dcterms:W3CDTF">2009-08-13T00:28:45Z</dcterms:modified>
  <cp:category/>
  <cp:version/>
  <cp:contentType/>
  <cp:contentStatus/>
</cp:coreProperties>
</file>